
<file path=[Content_Types].xml><?xml version="1.0" encoding="utf-8"?>
<Types xmlns="http://schemas.openxmlformats.org/package/2006/content-types">
  <Default Extension="xml" ContentType="application/xml"/>
  <Default Extension="jpeg" ContentType="image/jpeg"/>
  <Default Extension="tiff" ContentType="image/tiff"/>
  <Default Extension="emf" ContentType="image/x-emf"/>
  <Default Extension="rels" ContentType="application/vnd.openxmlformats-package.relationships+xml"/>
  <Default Extension="vml" ContentType="application/vnd.openxmlformats-officedocument.vmlDrawing"/>
  <Default Extension="bin" ContentType="application/vnd.openxmlformats-officedocument.oleObjec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7729"/>
  <workbookPr showInkAnnotation="0" autoCompressPictures="0"/>
  <bookViews>
    <workbookView xWindow="0" yWindow="0" windowWidth="28800" windowHeight="26360" tabRatio="801" activeTab="6"/>
  </bookViews>
  <sheets>
    <sheet name="Units" sheetId="2" r:id="rId1"/>
    <sheet name="Constants" sheetId="1" r:id="rId2"/>
    <sheet name="Classical Mechanics" sheetId="3" r:id="rId3"/>
    <sheet name="Oscillations &amp; Waves" sheetId="5" r:id="rId4"/>
    <sheet name="Thermodynamics" sheetId="7" r:id="rId5"/>
    <sheet name="Electromagnetism" sheetId="4" r:id="rId6"/>
    <sheet name="Quantum Mechanics &amp; Relativity" sheetId="6" r:id="rId7"/>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F33" i="1" l="1"/>
  <c r="F31" i="1"/>
  <c r="F42" i="1"/>
  <c r="I49" i="6"/>
  <c r="K30" i="6"/>
  <c r="F47" i="6"/>
  <c r="F49" i="6"/>
  <c r="F48" i="6"/>
  <c r="R27" i="4"/>
  <c r="F46" i="4"/>
  <c r="R24" i="4"/>
  <c r="F42" i="4"/>
  <c r="F44" i="4"/>
  <c r="F45" i="4"/>
  <c r="F43" i="4"/>
  <c r="E29" i="3"/>
  <c r="E28" i="3"/>
  <c r="E27" i="3"/>
  <c r="E25" i="3"/>
  <c r="E24" i="3"/>
  <c r="E26" i="3"/>
  <c r="J30" i="3"/>
  <c r="I43" i="3"/>
  <c r="J43" i="3"/>
  <c r="L43" i="3"/>
  <c r="K43" i="3"/>
  <c r="J42" i="3"/>
  <c r="L42" i="3"/>
  <c r="K42" i="3"/>
  <c r="J41" i="3"/>
  <c r="L41" i="3"/>
  <c r="K41" i="3"/>
  <c r="J40" i="3"/>
  <c r="L40" i="3"/>
  <c r="K40" i="3"/>
  <c r="J39" i="3"/>
  <c r="L39" i="3"/>
  <c r="K39" i="3"/>
  <c r="J38" i="3"/>
  <c r="L38" i="3"/>
  <c r="K38" i="3"/>
  <c r="J37" i="3"/>
  <c r="L37" i="3"/>
  <c r="K37" i="3"/>
  <c r="J36" i="3"/>
  <c r="L36" i="3"/>
  <c r="K36" i="3"/>
  <c r="J35" i="3"/>
  <c r="L35" i="3"/>
  <c r="K35" i="3"/>
  <c r="J34" i="3"/>
  <c r="L34" i="3"/>
  <c r="K34" i="3"/>
  <c r="J33" i="3"/>
  <c r="L33" i="3"/>
  <c r="K33" i="3"/>
  <c r="J32" i="3"/>
  <c r="L32" i="3"/>
  <c r="K32" i="3"/>
  <c r="J31" i="3"/>
  <c r="L31" i="3"/>
  <c r="K31" i="3"/>
  <c r="L30" i="3"/>
  <c r="K30" i="3"/>
  <c r="J25" i="3"/>
  <c r="E23" i="3"/>
  <c r="J22" i="3"/>
  <c r="J24" i="3"/>
  <c r="J23" i="3"/>
  <c r="E50" i="2"/>
  <c r="E49" i="2"/>
  <c r="E45" i="2"/>
  <c r="G46" i="2"/>
  <c r="G45" i="2"/>
  <c r="E38" i="2"/>
  <c r="G38" i="2"/>
  <c r="E30" i="2"/>
  <c r="G30" i="2"/>
  <c r="G26" i="2"/>
  <c r="G20" i="2"/>
  <c r="G15" i="2"/>
  <c r="G16" i="2"/>
  <c r="G17" i="2"/>
  <c r="G22" i="2"/>
  <c r="G10" i="2"/>
  <c r="G11" i="2"/>
  <c r="G12" i="2"/>
  <c r="G21" i="2"/>
  <c r="K22" i="2"/>
  <c r="K20" i="2"/>
  <c r="F43" i="1"/>
  <c r="F35" i="1"/>
  <c r="F36" i="1"/>
  <c r="F34" i="1"/>
  <c r="F41" i="1"/>
  <c r="F30" i="1"/>
  <c r="F47" i="1"/>
  <c r="F48" i="1"/>
  <c r="F49" i="1"/>
  <c r="F50" i="1"/>
  <c r="F32" i="1"/>
  <c r="F7" i="1"/>
  <c r="F39" i="1"/>
  <c r="F40" i="1"/>
  <c r="F16" i="1"/>
  <c r="F17" i="1"/>
  <c r="F18" i="1"/>
  <c r="G18" i="1"/>
  <c r="G17" i="1"/>
  <c r="G16" i="1"/>
  <c r="G15" i="1"/>
  <c r="G14" i="1"/>
  <c r="G13" i="1"/>
  <c r="G12" i="1"/>
  <c r="G11" i="1"/>
  <c r="F5" i="1"/>
</calcChain>
</file>

<file path=xl/sharedStrings.xml><?xml version="1.0" encoding="utf-8"?>
<sst xmlns="http://schemas.openxmlformats.org/spreadsheetml/2006/main" count="868" uniqueCount="630">
  <si>
    <t>Constants</t>
  </si>
  <si>
    <t>Symbol</t>
  </si>
  <si>
    <t>Value</t>
  </si>
  <si>
    <t>base of natural logarithm</t>
  </si>
  <si>
    <t>e</t>
  </si>
  <si>
    <t>imaginary number</t>
  </si>
  <si>
    <t>i</t>
  </si>
  <si>
    <t>-1^0.5</t>
  </si>
  <si>
    <t>irrational number</t>
  </si>
  <si>
    <t xml:space="preserve"> π (or pi)</t>
  </si>
  <si>
    <t>Deduction of  e  from compounding interest</t>
  </si>
  <si>
    <t>period</t>
  </si>
  <si>
    <t>n</t>
  </si>
  <si>
    <t>(1+1/n)^n</t>
  </si>
  <si>
    <t>annually</t>
  </si>
  <si>
    <t>quarterly</t>
  </si>
  <si>
    <t>monthly</t>
  </si>
  <si>
    <t>weekly</t>
  </si>
  <si>
    <t>daily</t>
  </si>
  <si>
    <t>hourly</t>
  </si>
  <si>
    <t>per minute</t>
  </si>
  <si>
    <t>per second</t>
  </si>
  <si>
    <t>continuously</t>
  </si>
  <si>
    <t>8</t>
  </si>
  <si>
    <t>2.71828183…</t>
  </si>
  <si>
    <t>Explanation:</t>
  </si>
  <si>
    <t>starting capital: 1</t>
  </si>
  <si>
    <t>annual interest rate: 1 (100%)</t>
  </si>
  <si>
    <t xml:space="preserve">n interest payments and reinvestments per year  </t>
  </si>
  <si>
    <r>
      <t>(1+1/n)</t>
    </r>
    <r>
      <rPr>
        <vertAlign val="superscript"/>
        <sz val="11"/>
        <rFont val="Arial"/>
      </rPr>
      <t>n</t>
    </r>
    <r>
      <rPr>
        <sz val="11"/>
        <rFont val="Arial"/>
      </rPr>
      <t xml:space="preserve"> balance at end of year</t>
    </r>
  </si>
  <si>
    <r>
      <t>e</t>
    </r>
    <r>
      <rPr>
        <sz val="11"/>
        <rFont val="Arial"/>
      </rPr>
      <t xml:space="preserve"> balance if continuously compounded </t>
    </r>
  </si>
  <si>
    <t>Dimension</t>
  </si>
  <si>
    <t>Remarks</t>
  </si>
  <si>
    <t>Speed of light in vacuum</t>
  </si>
  <si>
    <r>
      <t>c</t>
    </r>
    <r>
      <rPr>
        <vertAlign val="subscript"/>
        <sz val="11"/>
        <rFont val="Arial"/>
      </rPr>
      <t>0</t>
    </r>
  </si>
  <si>
    <r>
      <t>m s</t>
    </r>
    <r>
      <rPr>
        <vertAlign val="superscript"/>
        <sz val="11"/>
        <rFont val="Arial"/>
      </rPr>
      <t>-1</t>
    </r>
  </si>
  <si>
    <t>approx. 300,000 km/s</t>
  </si>
  <si>
    <t>Elementary charge</t>
  </si>
  <si>
    <t>C</t>
  </si>
  <si>
    <t>charge of electron</t>
  </si>
  <si>
    <t>Planck constant</t>
  </si>
  <si>
    <t>h</t>
  </si>
  <si>
    <t>J s</t>
  </si>
  <si>
    <t>Reduced Planck constant</t>
  </si>
  <si>
    <t>ħ</t>
  </si>
  <si>
    <t>h divided by 2π</t>
  </si>
  <si>
    <t>Gravitational constant</t>
  </si>
  <si>
    <t>G</t>
  </si>
  <si>
    <r>
      <t>N m</t>
    </r>
    <r>
      <rPr>
        <vertAlign val="superscript"/>
        <sz val="11"/>
        <rFont val="Arial"/>
      </rPr>
      <t>2</t>
    </r>
    <r>
      <rPr>
        <sz val="11"/>
        <rFont val="Arial"/>
      </rPr>
      <t xml:space="preserve"> kg</t>
    </r>
    <r>
      <rPr>
        <vertAlign val="superscript"/>
        <sz val="11"/>
        <rFont val="Arial"/>
      </rPr>
      <t>-2</t>
    </r>
  </si>
  <si>
    <t>Avogadro constant</t>
  </si>
  <si>
    <r>
      <t>N</t>
    </r>
    <r>
      <rPr>
        <vertAlign val="subscript"/>
        <sz val="11"/>
        <rFont val="Arial"/>
      </rPr>
      <t>A</t>
    </r>
  </si>
  <si>
    <r>
      <t>mol</t>
    </r>
    <r>
      <rPr>
        <vertAlign val="superscript"/>
        <sz val="11"/>
        <rFont val="Arial"/>
      </rPr>
      <t>-1</t>
    </r>
  </si>
  <si>
    <t>Planck length</t>
  </si>
  <si>
    <r>
      <t xml:space="preserve">l </t>
    </r>
    <r>
      <rPr>
        <vertAlign val="subscript"/>
        <sz val="11"/>
        <rFont val="Arial"/>
      </rPr>
      <t>P</t>
    </r>
  </si>
  <si>
    <t>m</t>
  </si>
  <si>
    <t>Computation of gravitational acceleration on Earth g from universal gravitational constant G</t>
  </si>
  <si>
    <t>Earth mass</t>
  </si>
  <si>
    <t>kg</t>
  </si>
  <si>
    <t>Earth radius</t>
  </si>
  <si>
    <t>force acting on 1 kg mass</t>
  </si>
  <si>
    <t>N</t>
  </si>
  <si>
    <t>acceleration g acting on 1 kg mass</t>
  </si>
  <si>
    <r>
      <t>m s</t>
    </r>
    <r>
      <rPr>
        <vertAlign val="superscript"/>
        <sz val="11"/>
        <rFont val="Arial"/>
      </rPr>
      <t>-2</t>
    </r>
  </si>
  <si>
    <t>Boltzmann constant</t>
  </si>
  <si>
    <t>k</t>
  </si>
  <si>
    <r>
      <t>J K</t>
    </r>
    <r>
      <rPr>
        <vertAlign val="superscript"/>
        <sz val="11"/>
        <rFont val="Arial"/>
      </rPr>
      <t>-1</t>
    </r>
  </si>
  <si>
    <t>Faraday constant</t>
  </si>
  <si>
    <t>F</t>
  </si>
  <si>
    <r>
      <t>C mol</t>
    </r>
    <r>
      <rPr>
        <vertAlign val="superscript"/>
        <sz val="11"/>
        <rFont val="Arial"/>
      </rPr>
      <t>-1</t>
    </r>
    <r>
      <rPr>
        <sz val="11"/>
        <rFont val="Arial"/>
      </rPr>
      <t xml:space="preserve"> </t>
    </r>
  </si>
  <si>
    <r>
      <t>equals N</t>
    </r>
    <r>
      <rPr>
        <vertAlign val="subscript"/>
        <sz val="11"/>
        <rFont val="Arial"/>
      </rPr>
      <t>A</t>
    </r>
    <r>
      <rPr>
        <sz val="11"/>
        <rFont val="Arial"/>
      </rPr>
      <t xml:space="preserve"> times e</t>
    </r>
  </si>
  <si>
    <t>Electric (field) constant</t>
  </si>
  <si>
    <r>
      <t>ε</t>
    </r>
    <r>
      <rPr>
        <vertAlign val="subscript"/>
        <sz val="11"/>
        <rFont val="Arial"/>
      </rPr>
      <t>0</t>
    </r>
  </si>
  <si>
    <r>
      <t>F m</t>
    </r>
    <r>
      <rPr>
        <vertAlign val="superscript"/>
        <sz val="11"/>
        <rFont val="Arial"/>
      </rPr>
      <t>-1</t>
    </r>
  </si>
  <si>
    <t>Magnetic (field) constant</t>
  </si>
  <si>
    <r>
      <t>μ</t>
    </r>
    <r>
      <rPr>
        <vertAlign val="subscript"/>
        <sz val="11"/>
        <rFont val="Arial"/>
      </rPr>
      <t>0</t>
    </r>
  </si>
  <si>
    <r>
      <t>H m</t>
    </r>
    <r>
      <rPr>
        <vertAlign val="superscript"/>
        <sz val="11"/>
        <rFont val="Arial"/>
      </rPr>
      <t>-1</t>
    </r>
  </si>
  <si>
    <r>
      <t>m</t>
    </r>
    <r>
      <rPr>
        <vertAlign val="subscript"/>
        <sz val="11"/>
        <rFont val="Arial"/>
      </rPr>
      <t>e</t>
    </r>
  </si>
  <si>
    <r>
      <t>m</t>
    </r>
    <r>
      <rPr>
        <vertAlign val="subscript"/>
        <sz val="11"/>
        <rFont val="Arial"/>
      </rPr>
      <t>p</t>
    </r>
  </si>
  <si>
    <t>Units</t>
  </si>
  <si>
    <t>Common units (SI-derived and non-SI)</t>
  </si>
  <si>
    <t>Name</t>
  </si>
  <si>
    <t>SI derived units</t>
  </si>
  <si>
    <t>SI base units</t>
  </si>
  <si>
    <t>Time:</t>
  </si>
  <si>
    <t>minute</t>
  </si>
  <si>
    <t>min</t>
  </si>
  <si>
    <t>s</t>
  </si>
  <si>
    <t>hour</t>
  </si>
  <si>
    <t>day</t>
  </si>
  <si>
    <t>d</t>
  </si>
  <si>
    <t>year</t>
  </si>
  <si>
    <t>y</t>
  </si>
  <si>
    <t>365.25 days per year</t>
  </si>
  <si>
    <t>Angle:</t>
  </si>
  <si>
    <t>degree</t>
  </si>
  <si>
    <t>O</t>
  </si>
  <si>
    <t>rad</t>
  </si>
  <si>
    <t>pi/180</t>
  </si>
  <si>
    <t>'</t>
  </si>
  <si>
    <t>second</t>
  </si>
  <si>
    <t>"</t>
  </si>
  <si>
    <t>Astronomical distance:</t>
  </si>
  <si>
    <t>equals:</t>
  </si>
  <si>
    <t>astronomical unit</t>
  </si>
  <si>
    <t>ua</t>
  </si>
  <si>
    <t>mean earth-sun distance</t>
  </si>
  <si>
    <t>lmin</t>
  </si>
  <si>
    <t>light year</t>
  </si>
  <si>
    <t>ly</t>
  </si>
  <si>
    <t>distance travelled by light in 1 year</t>
  </si>
  <si>
    <t>parsec</t>
  </si>
  <si>
    <t>pc</t>
  </si>
  <si>
    <t>distance determined by parallax of 1"</t>
  </si>
  <si>
    <t>Mechanical units:</t>
  </si>
  <si>
    <t>newton</t>
  </si>
  <si>
    <r>
      <t>kg m s</t>
    </r>
    <r>
      <rPr>
        <vertAlign val="superscript"/>
        <sz val="11"/>
        <rFont val="Arial"/>
      </rPr>
      <t>-2</t>
    </r>
  </si>
  <si>
    <t>force, mass times acceleration</t>
  </si>
  <si>
    <t>tonne</t>
  </si>
  <si>
    <t>t</t>
  </si>
  <si>
    <t>kN</t>
  </si>
  <si>
    <t>metric ton, force exerted by Earth's gravity on 1000 kg</t>
  </si>
  <si>
    <t>joule</t>
  </si>
  <si>
    <t>J</t>
  </si>
  <si>
    <t>N m</t>
  </si>
  <si>
    <r>
      <t>kg m</t>
    </r>
    <r>
      <rPr>
        <vertAlign val="superscript"/>
        <sz val="11"/>
        <rFont val="Arial"/>
      </rPr>
      <t>2</t>
    </r>
    <r>
      <rPr>
        <sz val="11"/>
        <rFont val="Arial"/>
      </rPr>
      <t xml:space="preserve"> s</t>
    </r>
    <r>
      <rPr>
        <vertAlign val="superscript"/>
        <sz val="11"/>
        <rFont val="Arial"/>
      </rPr>
      <t>-2</t>
    </r>
  </si>
  <si>
    <t>work (energy), force times distance</t>
  </si>
  <si>
    <t>watt</t>
  </si>
  <si>
    <t>W</t>
  </si>
  <si>
    <r>
      <t>J s</t>
    </r>
    <r>
      <rPr>
        <vertAlign val="superscript"/>
        <sz val="11"/>
        <rFont val="Arial"/>
      </rPr>
      <t>-1</t>
    </r>
  </si>
  <si>
    <r>
      <t>kg m</t>
    </r>
    <r>
      <rPr>
        <vertAlign val="superscript"/>
        <sz val="11"/>
        <rFont val="Arial"/>
      </rPr>
      <t>2</t>
    </r>
    <r>
      <rPr>
        <sz val="11"/>
        <rFont val="Arial"/>
      </rPr>
      <t xml:space="preserve"> s</t>
    </r>
    <r>
      <rPr>
        <vertAlign val="superscript"/>
        <sz val="11"/>
        <rFont val="Arial"/>
      </rPr>
      <t>-3</t>
    </r>
    <r>
      <rPr>
        <b/>
        <sz val="10"/>
        <rFont val="Verdana"/>
      </rPr>
      <t/>
    </r>
  </si>
  <si>
    <t>power, work per time interval</t>
  </si>
  <si>
    <t>pascal</t>
  </si>
  <si>
    <t>Pa</t>
  </si>
  <si>
    <r>
      <t>N m</t>
    </r>
    <r>
      <rPr>
        <vertAlign val="superscript"/>
        <sz val="11"/>
        <rFont val="Arial"/>
      </rPr>
      <t>-2</t>
    </r>
  </si>
  <si>
    <r>
      <t>kg m</t>
    </r>
    <r>
      <rPr>
        <vertAlign val="superscript"/>
        <sz val="11"/>
        <rFont val="Arial"/>
      </rPr>
      <t>-1</t>
    </r>
    <r>
      <rPr>
        <sz val="11"/>
        <rFont val="Arial"/>
      </rPr>
      <t xml:space="preserve"> s</t>
    </r>
    <r>
      <rPr>
        <vertAlign val="superscript"/>
        <sz val="11"/>
        <rFont val="Arial"/>
      </rPr>
      <t>-2</t>
    </r>
  </si>
  <si>
    <t xml:space="preserve">pressure, force on area </t>
  </si>
  <si>
    <t>atmosphere</t>
  </si>
  <si>
    <t>at</t>
  </si>
  <si>
    <t>kPa</t>
  </si>
  <si>
    <r>
      <t>pressure on 1cm</t>
    </r>
    <r>
      <rPr>
        <vertAlign val="superscript"/>
        <sz val="11"/>
        <rFont val="Arial"/>
      </rPr>
      <t>2</t>
    </r>
    <r>
      <rPr>
        <sz val="11"/>
        <rFont val="Arial"/>
      </rPr>
      <t xml:space="preserve"> of Earth's surface</t>
    </r>
  </si>
  <si>
    <t>Electrical/magnetical units:</t>
  </si>
  <si>
    <t>1J = 1Ws = 1Nm</t>
  </si>
  <si>
    <t>equivalence of electrical and mechanical energy</t>
  </si>
  <si>
    <t>coulomb</t>
  </si>
  <si>
    <t>A s</t>
  </si>
  <si>
    <t>charge (amount of electricity), current times time interval</t>
  </si>
  <si>
    <t>volt</t>
  </si>
  <si>
    <t>V</t>
  </si>
  <si>
    <r>
      <t>W A</t>
    </r>
    <r>
      <rPr>
        <vertAlign val="superscript"/>
        <sz val="11"/>
        <rFont val="Arial"/>
      </rPr>
      <t>-1</t>
    </r>
  </si>
  <si>
    <r>
      <t>kg m</t>
    </r>
    <r>
      <rPr>
        <vertAlign val="superscript"/>
        <sz val="11"/>
        <rFont val="Arial"/>
      </rPr>
      <t>2</t>
    </r>
    <r>
      <rPr>
        <sz val="11"/>
        <rFont val="Arial"/>
      </rPr>
      <t xml:space="preserve"> s</t>
    </r>
    <r>
      <rPr>
        <vertAlign val="superscript"/>
        <sz val="11"/>
        <rFont val="Arial"/>
      </rPr>
      <t>-3</t>
    </r>
    <r>
      <rPr>
        <sz val="11"/>
        <rFont val="Arial"/>
      </rPr>
      <t xml:space="preserve"> A</t>
    </r>
    <r>
      <rPr>
        <vertAlign val="superscript"/>
        <sz val="11"/>
        <rFont val="Arial"/>
      </rPr>
      <t>-1</t>
    </r>
  </si>
  <si>
    <t>voltage (potential difference), power per ampere</t>
  </si>
  <si>
    <t>or</t>
  </si>
  <si>
    <r>
      <t>J C</t>
    </r>
    <r>
      <rPr>
        <vertAlign val="superscript"/>
        <sz val="11"/>
        <rFont val="Arial"/>
      </rPr>
      <t>-1</t>
    </r>
  </si>
  <si>
    <t>energy per charge</t>
  </si>
  <si>
    <t>V A</t>
  </si>
  <si>
    <t xml:space="preserve">power, volts times amperes </t>
  </si>
  <si>
    <t>W s</t>
  </si>
  <si>
    <t>energy, power times time interval</t>
  </si>
  <si>
    <t>kilowatthour</t>
  </si>
  <si>
    <t>kW h</t>
  </si>
  <si>
    <t>kJ</t>
  </si>
  <si>
    <t>work (energy), power times time interval (3,600 s)</t>
  </si>
  <si>
    <t>farad</t>
  </si>
  <si>
    <t>C/V</t>
  </si>
  <si>
    <r>
      <t xml:space="preserve">  A</t>
    </r>
    <r>
      <rPr>
        <vertAlign val="superscript"/>
        <sz val="11"/>
        <rFont val="Arial"/>
      </rPr>
      <t xml:space="preserve">2 </t>
    </r>
    <r>
      <rPr>
        <sz val="11"/>
        <rFont val="Arial"/>
      </rPr>
      <t>s</t>
    </r>
    <r>
      <rPr>
        <vertAlign val="superscript"/>
        <sz val="11"/>
        <rFont val="Arial"/>
      </rPr>
      <t xml:space="preserve">4 </t>
    </r>
    <r>
      <rPr>
        <sz val="11"/>
        <rFont val="Arial"/>
      </rPr>
      <t>kg</t>
    </r>
    <r>
      <rPr>
        <vertAlign val="superscript"/>
        <sz val="11"/>
        <rFont val="Arial"/>
      </rPr>
      <t>-1</t>
    </r>
    <r>
      <rPr>
        <sz val="11"/>
        <rFont val="Arial"/>
      </rPr>
      <t xml:space="preserve"> m</t>
    </r>
    <r>
      <rPr>
        <vertAlign val="superscript"/>
        <sz val="11"/>
        <rFont val="Arial"/>
      </rPr>
      <t>-2</t>
    </r>
  </si>
  <si>
    <t>electrical capacitance, charge per potential difference</t>
  </si>
  <si>
    <t>henry</t>
  </si>
  <si>
    <t>H</t>
  </si>
  <si>
    <t>Wb/A</t>
  </si>
  <si>
    <r>
      <t>kg m</t>
    </r>
    <r>
      <rPr>
        <vertAlign val="superscript"/>
        <sz val="11"/>
        <rFont val="Arial"/>
      </rPr>
      <t>2</t>
    </r>
    <r>
      <rPr>
        <sz val="11"/>
        <rFont val="Arial"/>
      </rPr>
      <t xml:space="preserve"> s</t>
    </r>
    <r>
      <rPr>
        <vertAlign val="superscript"/>
        <sz val="11"/>
        <rFont val="Arial"/>
      </rPr>
      <t>-2</t>
    </r>
    <r>
      <rPr>
        <sz val="11"/>
        <rFont val="Arial"/>
      </rPr>
      <t xml:space="preserve"> A</t>
    </r>
    <r>
      <rPr>
        <vertAlign val="superscript"/>
        <sz val="11"/>
        <rFont val="Arial"/>
      </rPr>
      <t>-2</t>
    </r>
  </si>
  <si>
    <t>inductance, magnetic flux per ampere</t>
  </si>
  <si>
    <t>tesla</t>
  </si>
  <si>
    <t>T</t>
  </si>
  <si>
    <r>
      <t>V s m</t>
    </r>
    <r>
      <rPr>
        <vertAlign val="superscript"/>
        <sz val="11"/>
        <rFont val="Arial"/>
      </rPr>
      <t>-2</t>
    </r>
  </si>
  <si>
    <r>
      <t>kg A</t>
    </r>
    <r>
      <rPr>
        <vertAlign val="superscript"/>
        <sz val="11"/>
        <rFont val="Arial"/>
      </rPr>
      <t>-1</t>
    </r>
    <r>
      <rPr>
        <sz val="11"/>
        <rFont val="Arial"/>
      </rPr>
      <t xml:space="preserve"> s</t>
    </r>
    <r>
      <rPr>
        <vertAlign val="superscript"/>
        <sz val="11"/>
        <rFont val="Arial"/>
      </rPr>
      <t>-2</t>
    </r>
  </si>
  <si>
    <t>magnetic flux density</t>
  </si>
  <si>
    <t>weber</t>
  </si>
  <si>
    <t>Wb</t>
  </si>
  <si>
    <t>V s</t>
  </si>
  <si>
    <r>
      <t>kg m</t>
    </r>
    <r>
      <rPr>
        <vertAlign val="superscript"/>
        <sz val="11"/>
        <rFont val="Arial"/>
      </rPr>
      <t>2</t>
    </r>
    <r>
      <rPr>
        <sz val="11"/>
        <rFont val="Arial"/>
      </rPr>
      <t xml:space="preserve"> s</t>
    </r>
    <r>
      <rPr>
        <vertAlign val="superscript"/>
        <sz val="11"/>
        <rFont val="Arial"/>
      </rPr>
      <t>-2</t>
    </r>
    <r>
      <rPr>
        <sz val="11"/>
        <rFont val="Arial"/>
      </rPr>
      <t xml:space="preserve"> A</t>
    </r>
    <r>
      <rPr>
        <vertAlign val="superscript"/>
        <sz val="11"/>
        <rFont val="Arial"/>
      </rPr>
      <t>-1</t>
    </r>
  </si>
  <si>
    <t>magnetic flux</t>
  </si>
  <si>
    <t xml:space="preserve">Mass-Energy equivalence: </t>
  </si>
  <si>
    <r>
      <t>E = m c</t>
    </r>
    <r>
      <rPr>
        <vertAlign val="superscript"/>
        <sz val="11"/>
        <rFont val="Arial"/>
      </rPr>
      <t>2</t>
    </r>
    <r>
      <rPr>
        <sz val="11"/>
        <rFont val="Arial"/>
      </rPr>
      <t xml:space="preserve">   or  m = E / c</t>
    </r>
    <r>
      <rPr>
        <vertAlign val="superscript"/>
        <sz val="11"/>
        <rFont val="Arial"/>
      </rPr>
      <t>2</t>
    </r>
    <r>
      <rPr>
        <sz val="11"/>
        <rFont val="Arial"/>
      </rPr>
      <t>, used in particle physics</t>
    </r>
  </si>
  <si>
    <t xml:space="preserve">electron volt </t>
  </si>
  <si>
    <t>eV</t>
  </si>
  <si>
    <t>kinetic energy of electron(charge) if accelerated by 1 volt</t>
  </si>
  <si>
    <t>mass equivalent of electron's kinetic energy at speed of light</t>
  </si>
  <si>
    <t>Inputs (see Constants)</t>
  </si>
  <si>
    <t>Phys. Quantity</t>
  </si>
  <si>
    <t>Formula</t>
  </si>
  <si>
    <t>Symbols used:</t>
  </si>
  <si>
    <t>Momentum</t>
  </si>
  <si>
    <t>p = m v</t>
  </si>
  <si>
    <t>mass times velocity</t>
  </si>
  <si>
    <t>a</t>
  </si>
  <si>
    <t>acceleration</t>
  </si>
  <si>
    <t>Force</t>
  </si>
  <si>
    <t>F = m a = m dv/dt = dp/dt</t>
  </si>
  <si>
    <t>mass times acceleration</t>
  </si>
  <si>
    <t>E</t>
  </si>
  <si>
    <t>energy</t>
  </si>
  <si>
    <r>
      <t>J (or Nm  or kg m</t>
    </r>
    <r>
      <rPr>
        <vertAlign val="superscript"/>
        <sz val="11"/>
        <rFont val="Arial"/>
      </rPr>
      <t>2</t>
    </r>
    <r>
      <rPr>
        <sz val="11"/>
        <rFont val="Arial"/>
      </rPr>
      <t xml:space="preserve"> s</t>
    </r>
    <r>
      <rPr>
        <vertAlign val="superscript"/>
        <sz val="11"/>
        <rFont val="Arial"/>
      </rPr>
      <t>-2</t>
    </r>
    <r>
      <rPr>
        <sz val="11"/>
        <rFont val="Arial"/>
      </rPr>
      <t>)</t>
    </r>
  </si>
  <si>
    <t xml:space="preserve">Energy  </t>
  </si>
  <si>
    <t>- potential</t>
  </si>
  <si>
    <t xml:space="preserve">E = F h </t>
  </si>
  <si>
    <t>force times height</t>
  </si>
  <si>
    <t>force</t>
  </si>
  <si>
    <r>
      <t>N (or kg m s</t>
    </r>
    <r>
      <rPr>
        <vertAlign val="superscript"/>
        <sz val="11"/>
        <rFont val="Arial"/>
      </rPr>
      <t>-2</t>
    </r>
    <r>
      <rPr>
        <sz val="11"/>
        <rFont val="Arial"/>
      </rPr>
      <t>)</t>
    </r>
  </si>
  <si>
    <t>- kinetic</t>
  </si>
  <si>
    <r>
      <t>E = 1/2 m v</t>
    </r>
    <r>
      <rPr>
        <vertAlign val="superscript"/>
        <sz val="11"/>
        <rFont val="Arial"/>
      </rPr>
      <t>2</t>
    </r>
  </si>
  <si>
    <t>1/2 mass times velocity squared</t>
  </si>
  <si>
    <t>grav. constant</t>
  </si>
  <si>
    <t>Power</t>
  </si>
  <si>
    <t>P = E / t</t>
  </si>
  <si>
    <t>energy (or work) per time interval</t>
  </si>
  <si>
    <t>height</t>
  </si>
  <si>
    <t>Gravitation</t>
  </si>
  <si>
    <r>
      <t>F = G m</t>
    </r>
    <r>
      <rPr>
        <vertAlign val="subscript"/>
        <sz val="11"/>
        <rFont val="Arial"/>
      </rPr>
      <t>1</t>
    </r>
    <r>
      <rPr>
        <sz val="11"/>
        <rFont val="Arial"/>
      </rPr>
      <t xml:space="preserve"> m</t>
    </r>
    <r>
      <rPr>
        <vertAlign val="subscript"/>
        <sz val="11"/>
        <rFont val="Arial"/>
      </rPr>
      <t>2</t>
    </r>
    <r>
      <rPr>
        <sz val="11"/>
        <rFont val="Arial"/>
      </rPr>
      <t xml:space="preserve"> / r</t>
    </r>
    <r>
      <rPr>
        <vertAlign val="superscript"/>
        <sz val="11"/>
        <rFont val="Arial"/>
      </rPr>
      <t>2</t>
    </r>
  </si>
  <si>
    <t>universal law (for point-like mass)</t>
  </si>
  <si>
    <t>L</t>
  </si>
  <si>
    <t>angular momentum</t>
  </si>
  <si>
    <r>
      <t>J s (or kg m</t>
    </r>
    <r>
      <rPr>
        <vertAlign val="superscript"/>
        <sz val="11"/>
        <rFont val="Arial"/>
      </rPr>
      <t>2</t>
    </r>
    <r>
      <rPr>
        <sz val="11"/>
        <rFont val="Arial"/>
      </rPr>
      <t xml:space="preserve"> s</t>
    </r>
    <r>
      <rPr>
        <vertAlign val="superscript"/>
        <sz val="11"/>
        <rFont val="Arial"/>
      </rPr>
      <t>-1</t>
    </r>
    <r>
      <rPr>
        <sz val="11"/>
        <rFont val="Arial"/>
      </rPr>
      <t>)</t>
    </r>
  </si>
  <si>
    <t>Torque</t>
  </si>
  <si>
    <t>τ = F r</t>
  </si>
  <si>
    <t>force times radius</t>
  </si>
  <si>
    <t>mass</t>
  </si>
  <si>
    <t>Centrifugal force</t>
  </si>
  <si>
    <t>for point-like mass</t>
  </si>
  <si>
    <t>p</t>
  </si>
  <si>
    <t>impulse</t>
  </si>
  <si>
    <r>
      <t>kg m s</t>
    </r>
    <r>
      <rPr>
        <vertAlign val="superscript"/>
        <sz val="11"/>
        <rFont val="Arial"/>
      </rPr>
      <t>-1</t>
    </r>
  </si>
  <si>
    <t>Angular momentum</t>
  </si>
  <si>
    <t>L = Θ ω</t>
  </si>
  <si>
    <t>body spinning around its center of gravity</t>
  </si>
  <si>
    <t>P</t>
  </si>
  <si>
    <t>power</t>
  </si>
  <si>
    <t>r</t>
  </si>
  <si>
    <t>radius</t>
  </si>
  <si>
    <t>time</t>
  </si>
  <si>
    <t>v</t>
  </si>
  <si>
    <t>velocity</t>
  </si>
  <si>
    <t>Θ</t>
  </si>
  <si>
    <t>momentum of inertia</t>
  </si>
  <si>
    <r>
      <t>kg m</t>
    </r>
    <r>
      <rPr>
        <vertAlign val="superscript"/>
        <sz val="11"/>
        <rFont val="Arial"/>
      </rPr>
      <t>2</t>
    </r>
  </si>
  <si>
    <t>τ</t>
  </si>
  <si>
    <t>torque</t>
  </si>
  <si>
    <t>ω</t>
  </si>
  <si>
    <t>angular velocity</t>
  </si>
  <si>
    <r>
      <t>rad s</t>
    </r>
    <r>
      <rPr>
        <vertAlign val="superscript"/>
        <sz val="11"/>
        <rFont val="Arial"/>
      </rPr>
      <t>-1</t>
    </r>
  </si>
  <si>
    <t>Inputs (astronomical data)</t>
  </si>
  <si>
    <t>Computation</t>
  </si>
  <si>
    <t>(elliptical Moon orbit and common center of gravity disregarded)</t>
  </si>
  <si>
    <t>period of Moon</t>
  </si>
  <si>
    <t>days</t>
  </si>
  <si>
    <t>orbital speed</t>
  </si>
  <si>
    <t>a/</t>
  </si>
  <si>
    <r>
      <t>m s</t>
    </r>
    <r>
      <rPr>
        <vertAlign val="superscript"/>
        <sz val="9"/>
        <rFont val="Arial Narrow"/>
      </rPr>
      <t xml:space="preserve">-1 </t>
    </r>
  </si>
  <si>
    <t xml:space="preserve">a/ computed from distance and period </t>
  </si>
  <si>
    <t>s *</t>
  </si>
  <si>
    <t>of Moon</t>
  </si>
  <si>
    <t>b/</t>
  </si>
  <si>
    <t>b/ computed from gravitational law</t>
  </si>
  <si>
    <t>distance from Earth</t>
  </si>
  <si>
    <t>m **</t>
  </si>
  <si>
    <t>centrifugal force</t>
  </si>
  <si>
    <r>
      <t>kg m s</t>
    </r>
    <r>
      <rPr>
        <vertAlign val="superscript"/>
        <sz val="9"/>
        <rFont val="Arial Narrow"/>
      </rPr>
      <t>-2</t>
    </r>
  </si>
  <si>
    <t>acting on Moon through orbital motion</t>
  </si>
  <si>
    <t>radius of Moon</t>
  </si>
  <si>
    <t>gravitational force</t>
  </si>
  <si>
    <t>acting on Moon through pull of Earth</t>
  </si>
  <si>
    <t>radius of Earth</t>
  </si>
  <si>
    <t>Change of gravity</t>
  </si>
  <si>
    <t>mass of Moon</t>
  </si>
  <si>
    <t>distance from surface</t>
  </si>
  <si>
    <t>gravity</t>
  </si>
  <si>
    <t>mass of Earth</t>
  </si>
  <si>
    <t>of Earth</t>
  </si>
  <si>
    <t>gravitational constant</t>
  </si>
  <si>
    <r>
      <t>N m</t>
    </r>
    <r>
      <rPr>
        <vertAlign val="superscript"/>
        <sz val="9"/>
        <rFont val="Arial Narrow"/>
      </rPr>
      <t>2</t>
    </r>
    <r>
      <rPr>
        <sz val="9"/>
        <rFont val="Arial Narrow"/>
      </rPr>
      <t xml:space="preserve"> kg</t>
    </r>
    <r>
      <rPr>
        <vertAlign val="superscript"/>
        <sz val="9"/>
        <rFont val="Arial Narrow"/>
      </rPr>
      <t>-2</t>
    </r>
  </si>
  <si>
    <t>km</t>
  </si>
  <si>
    <r>
      <t>m s</t>
    </r>
    <r>
      <rPr>
        <i/>
        <vertAlign val="superscript"/>
        <sz val="9"/>
        <rFont val="Arial Narrow"/>
      </rPr>
      <t>-2</t>
    </r>
  </si>
  <si>
    <t>on Earth surface</t>
  </si>
  <si>
    <t>*   in SI units (seconds)</t>
  </si>
  <si>
    <t>** center to center</t>
  </si>
  <si>
    <t>equal gravity</t>
  </si>
  <si>
    <t>on Moon surface</t>
  </si>
  <si>
    <t>Symbols used</t>
  </si>
  <si>
    <t>Unit</t>
  </si>
  <si>
    <t>Explanation</t>
  </si>
  <si>
    <r>
      <t>F = k</t>
    </r>
    <r>
      <rPr>
        <vertAlign val="subscript"/>
        <sz val="11"/>
        <rFont val="Arial"/>
      </rPr>
      <t>e</t>
    </r>
    <r>
      <rPr>
        <sz val="11"/>
        <rFont val="Arial"/>
      </rPr>
      <t xml:space="preserve">  q</t>
    </r>
    <r>
      <rPr>
        <vertAlign val="subscript"/>
        <sz val="11"/>
        <rFont val="Arial"/>
      </rPr>
      <t>1</t>
    </r>
    <r>
      <rPr>
        <sz val="11"/>
        <rFont val="Arial"/>
      </rPr>
      <t xml:space="preserve"> q</t>
    </r>
    <r>
      <rPr>
        <vertAlign val="subscript"/>
        <sz val="11"/>
        <rFont val="Arial"/>
      </rPr>
      <t>2</t>
    </r>
    <r>
      <rPr>
        <sz val="11"/>
        <rFont val="Arial"/>
      </rPr>
      <t xml:space="preserve">  / r</t>
    </r>
    <r>
      <rPr>
        <vertAlign val="superscript"/>
        <sz val="11"/>
        <rFont val="Arial"/>
      </rPr>
      <t>2</t>
    </r>
  </si>
  <si>
    <t>B</t>
  </si>
  <si>
    <t>magnetic flux divided by area (tesla equals weber per square meter)</t>
  </si>
  <si>
    <r>
      <t>k</t>
    </r>
    <r>
      <rPr>
        <vertAlign val="subscript"/>
        <sz val="11"/>
        <rFont val="Arial"/>
      </rPr>
      <t>e</t>
    </r>
    <r>
      <rPr>
        <sz val="11"/>
        <rFont val="Arial"/>
      </rPr>
      <t xml:space="preserve"> = 1/ (4 π ε</t>
    </r>
    <r>
      <rPr>
        <vertAlign val="subscript"/>
        <sz val="11"/>
        <rFont val="Arial"/>
      </rPr>
      <t>0</t>
    </r>
    <r>
      <rPr>
        <sz val="11"/>
        <rFont val="Arial"/>
      </rPr>
      <t xml:space="preserve">) </t>
    </r>
  </si>
  <si>
    <t>proportionality factor (Coulomb's constant), explained by sphere's surface and units of measurement</t>
  </si>
  <si>
    <t>capacitance</t>
  </si>
  <si>
    <t>amount of charge a capacitor can take at given voltage</t>
  </si>
  <si>
    <t>D</t>
  </si>
  <si>
    <t>electric flux density</t>
  </si>
  <si>
    <r>
      <t>C m</t>
    </r>
    <r>
      <rPr>
        <vertAlign val="superscript"/>
        <sz val="11"/>
        <rFont val="Arial"/>
      </rPr>
      <t>-2</t>
    </r>
  </si>
  <si>
    <t>electric flux (sum of causing charges) per square meter</t>
  </si>
  <si>
    <t>electric field strength</t>
  </si>
  <si>
    <r>
      <t>V m</t>
    </r>
    <r>
      <rPr>
        <vertAlign val="superscript"/>
        <sz val="11"/>
        <rFont val="Arial"/>
      </rPr>
      <t>-1</t>
    </r>
  </si>
  <si>
    <t>potential difference (volt) divided by distance (meter), same dimension as newton per coulomb</t>
  </si>
  <si>
    <t>in simplified terms for a single conductor loop of a solenoid</t>
  </si>
  <si>
    <t>attraction (positive) or repulsion (negative) of electrically charged particles</t>
  </si>
  <si>
    <r>
      <t>Φ = L</t>
    </r>
    <r>
      <rPr>
        <sz val="11"/>
        <rFont val="Times New Roman"/>
      </rPr>
      <t xml:space="preserve"> </t>
    </r>
    <r>
      <rPr>
        <sz val="11"/>
        <color theme="1"/>
        <rFont val="Times New Roman"/>
      </rPr>
      <t>I</t>
    </r>
  </si>
  <si>
    <t>magnetic field strength</t>
  </si>
  <si>
    <r>
      <t>A m</t>
    </r>
    <r>
      <rPr>
        <vertAlign val="superscript"/>
        <sz val="11"/>
        <rFont val="Arial"/>
      </rPr>
      <t>-1</t>
    </r>
  </si>
  <si>
    <t>e.g., 'magn. potential differ.' (ampere) divided by distance (meter) of homog. field in solenoid</t>
  </si>
  <si>
    <r>
      <t>u = - d</t>
    </r>
    <r>
      <rPr>
        <sz val="11"/>
        <color theme="1"/>
        <rFont val="Arial"/>
      </rPr>
      <t>Φ</t>
    </r>
    <r>
      <rPr>
        <sz val="11"/>
        <rFont val="Arial"/>
      </rPr>
      <t xml:space="preserve"> / dt</t>
    </r>
  </si>
  <si>
    <t>instantaneous current</t>
  </si>
  <si>
    <t>A</t>
  </si>
  <si>
    <t>electric current at time t</t>
  </si>
  <si>
    <t>maximum current</t>
  </si>
  <si>
    <t>peak value of oscillating current</t>
  </si>
  <si>
    <t>I</t>
  </si>
  <si>
    <t>electric current</t>
  </si>
  <si>
    <t>quantity of el. charge (coulomb) per second</t>
  </si>
  <si>
    <t>D = ε E</t>
  </si>
  <si>
    <t>electric flux density determined by electric field strength, proportionality factor ε (permittivity) varies with material</t>
  </si>
  <si>
    <t>el. current density</t>
  </si>
  <si>
    <r>
      <t>A m</t>
    </r>
    <r>
      <rPr>
        <vertAlign val="superscript"/>
        <sz val="11"/>
        <rFont val="Arial"/>
      </rPr>
      <t>-2</t>
    </r>
  </si>
  <si>
    <t>current divided by area</t>
  </si>
  <si>
    <r>
      <t>ε</t>
    </r>
    <r>
      <rPr>
        <sz val="11"/>
        <rFont val="Arial"/>
      </rPr>
      <t xml:space="preserve"> = </t>
    </r>
    <r>
      <rPr>
        <sz val="11"/>
        <color theme="1"/>
        <rFont val="Arial"/>
      </rPr>
      <t>ε</t>
    </r>
    <r>
      <rPr>
        <vertAlign val="subscript"/>
        <sz val="11"/>
        <rFont val="Arial"/>
      </rPr>
      <t>0</t>
    </r>
    <r>
      <rPr>
        <sz val="11"/>
        <rFont val="Arial"/>
      </rPr>
      <t xml:space="preserve"> </t>
    </r>
    <r>
      <rPr>
        <sz val="11"/>
        <color theme="1"/>
        <rFont val="Arial"/>
      </rPr>
      <t>ε</t>
    </r>
    <r>
      <rPr>
        <vertAlign val="subscript"/>
        <sz val="11"/>
        <rFont val="Arial"/>
      </rPr>
      <t>r</t>
    </r>
  </si>
  <si>
    <r>
      <t>k</t>
    </r>
    <r>
      <rPr>
        <vertAlign val="subscript"/>
        <sz val="11"/>
        <rFont val="Arial"/>
      </rPr>
      <t>e</t>
    </r>
  </si>
  <si>
    <t>Coulomb constant</t>
  </si>
  <si>
    <r>
      <t>F</t>
    </r>
    <r>
      <rPr>
        <vertAlign val="superscript"/>
        <sz val="11"/>
        <rFont val="Arial"/>
      </rPr>
      <t>-1</t>
    </r>
    <r>
      <rPr>
        <sz val="11"/>
        <rFont val="Arial"/>
      </rPr>
      <t xml:space="preserve"> m</t>
    </r>
  </si>
  <si>
    <t>see properties of fee space</t>
  </si>
  <si>
    <t>B = μ H</t>
  </si>
  <si>
    <t>magnetic flux density determined by magnetic field strength, proportionality factor μ (permeability) varies with material</t>
  </si>
  <si>
    <t>inductance</t>
  </si>
  <si>
    <t>computable from material properties (type and distribution of matter)</t>
  </si>
  <si>
    <r>
      <t xml:space="preserve">μ = </t>
    </r>
    <r>
      <rPr>
        <sz val="11"/>
        <color theme="1"/>
        <rFont val="Arial"/>
      </rPr>
      <t>μ</t>
    </r>
    <r>
      <rPr>
        <vertAlign val="subscript"/>
        <sz val="11"/>
        <rFont val="Arial"/>
      </rPr>
      <t>0</t>
    </r>
    <r>
      <rPr>
        <sz val="11"/>
        <rFont val="Arial"/>
      </rPr>
      <t xml:space="preserve"> </t>
    </r>
    <r>
      <rPr>
        <sz val="11"/>
        <color theme="1"/>
        <rFont val="Arial"/>
      </rPr>
      <t>μ</t>
    </r>
    <r>
      <rPr>
        <vertAlign val="subscript"/>
        <sz val="11"/>
        <rFont val="Arial"/>
      </rPr>
      <t>r</t>
    </r>
  </si>
  <si>
    <t>q</t>
  </si>
  <si>
    <t>charge</t>
  </si>
  <si>
    <t>charge of capacitor</t>
  </si>
  <si>
    <t>E = F / q</t>
  </si>
  <si>
    <t xml:space="preserve">electric field strength defined as force acting on test charge q (newton per coulomb) </t>
  </si>
  <si>
    <t>maximum charge</t>
  </si>
  <si>
    <t>peak value of oscillating charge</t>
  </si>
  <si>
    <r>
      <t>C s</t>
    </r>
    <r>
      <rPr>
        <vertAlign val="superscript"/>
        <sz val="11"/>
        <rFont val="Arial"/>
      </rPr>
      <t>-2</t>
    </r>
  </si>
  <si>
    <t>second time derivative of charge</t>
  </si>
  <si>
    <t>distance from charge</t>
  </si>
  <si>
    <t xml:space="preserve">differential equation of harmonic oscillator, follows from  equal (but oppositely directed) voltage at inductor and capacitor </t>
  </si>
  <si>
    <t>variable of oscillations</t>
  </si>
  <si>
    <t>u</t>
  </si>
  <si>
    <t>instantaneous voltage</t>
  </si>
  <si>
    <t>electromotive force or potential difference at time t</t>
  </si>
  <si>
    <t>maximum voltage</t>
  </si>
  <si>
    <t>peak value of oscillating voltage</t>
  </si>
  <si>
    <t>solution of differential equation, describes how charge oscillates</t>
  </si>
  <si>
    <t>ε</t>
  </si>
  <si>
    <t>(el.) permittivity</t>
  </si>
  <si>
    <t>farad (capacitance) per meter</t>
  </si>
  <si>
    <t>vacuum permittivity</t>
  </si>
  <si>
    <t>value:</t>
  </si>
  <si>
    <t>(see Constants)</t>
  </si>
  <si>
    <t>charge divided by C equals oscillating voltage at capacitor</t>
  </si>
  <si>
    <r>
      <t>ε</t>
    </r>
    <r>
      <rPr>
        <vertAlign val="subscript"/>
        <sz val="11"/>
        <rFont val="Arial"/>
      </rPr>
      <t>r</t>
    </r>
  </si>
  <si>
    <t>permittivity number</t>
  </si>
  <si>
    <t>-</t>
  </si>
  <si>
    <t>see examples below</t>
  </si>
  <si>
    <t>μ</t>
  </si>
  <si>
    <t>(magn.) permeability</t>
  </si>
  <si>
    <t>henry (inductance or magn.flux per ampere) per meter</t>
  </si>
  <si>
    <t>charge differentiated with respect to time equals current at inductor</t>
  </si>
  <si>
    <t>vacuum permeability</t>
  </si>
  <si>
    <r>
      <t>μ</t>
    </r>
    <r>
      <rPr>
        <vertAlign val="subscript"/>
        <sz val="11"/>
        <rFont val="Arial"/>
      </rPr>
      <t>r</t>
    </r>
  </si>
  <si>
    <t>permeability number</t>
  </si>
  <si>
    <t>ρ</t>
  </si>
  <si>
    <t>charge density</t>
  </si>
  <si>
    <t>coulomb per square meter</t>
  </si>
  <si>
    <t xml:space="preserve">angular speed, determines frequency </t>
  </si>
  <si>
    <t>Φ</t>
  </si>
  <si>
    <t>'quantity' of magnetism (tesla times sq.meter), analogy to el. current (potential diff. / resistance)</t>
  </si>
  <si>
    <t>angular speed</t>
  </si>
  <si>
    <t>∇ ∙</t>
  </si>
  <si>
    <t>divergence</t>
  </si>
  <si>
    <t>math operator of vector field, measures infinitesimal outward (+) or inward (-) flux</t>
  </si>
  <si>
    <t>∇ ×</t>
  </si>
  <si>
    <t>curl</t>
  </si>
  <si>
    <t>math operator of vector field, measures infinitesimal rotation</t>
  </si>
  <si>
    <r>
      <t>∇ ∙ E = ρ / ε</t>
    </r>
    <r>
      <rPr>
        <vertAlign val="subscript"/>
        <sz val="11"/>
        <rFont val="Arial"/>
      </rPr>
      <t>0</t>
    </r>
  </si>
  <si>
    <t>divergence of electric field equals charge density divided by permittivity</t>
  </si>
  <si>
    <t>examples of permittivity &amp; permeability numbers</t>
  </si>
  <si>
    <t>∇ ∙ B = 0</t>
  </si>
  <si>
    <t>div. of magnetic field equals zero (no sources and sinks of magn. field lines (always closed)</t>
  </si>
  <si>
    <t xml:space="preserve">∇ × E = - dB/dt </t>
  </si>
  <si>
    <t>curl of electric field equals change of magnetic flux density (vector with opposite direction)</t>
  </si>
  <si>
    <t>air</t>
  </si>
  <si>
    <t>paramagnetic</t>
  </si>
  <si>
    <r>
      <t>∇ × B = μ</t>
    </r>
    <r>
      <rPr>
        <vertAlign val="subscript"/>
        <sz val="11"/>
        <rFont val="Arial"/>
      </rPr>
      <t>0</t>
    </r>
    <r>
      <rPr>
        <sz val="11"/>
        <rFont val="Arial"/>
      </rPr>
      <t xml:space="preserve"> J + μ</t>
    </r>
    <r>
      <rPr>
        <vertAlign val="subscript"/>
        <sz val="11"/>
        <rFont val="Arial"/>
      </rPr>
      <t>0</t>
    </r>
    <r>
      <rPr>
        <sz val="11"/>
        <rFont val="Arial"/>
      </rPr>
      <t>ε</t>
    </r>
    <r>
      <rPr>
        <vertAlign val="subscript"/>
        <sz val="11"/>
        <rFont val="Arial"/>
      </rPr>
      <t>0</t>
    </r>
    <r>
      <rPr>
        <sz val="11"/>
        <rFont val="Arial"/>
      </rPr>
      <t xml:space="preserve"> dE/dt </t>
    </r>
  </si>
  <si>
    <t>plastic</t>
  </si>
  <si>
    <t>about 2</t>
  </si>
  <si>
    <t>about 1</t>
  </si>
  <si>
    <t>The last equation implies that a magnetic field is caused by a changing electric field (Maxwell's correction) even if there is no current. The last two equations can be transformed into wave equations for the closely interrelated electric and magnetic fields which propagate at the speed of light.</t>
  </si>
  <si>
    <t>water</t>
  </si>
  <si>
    <t>diamagn. (opposing field)</t>
  </si>
  <si>
    <t>copper</t>
  </si>
  <si>
    <t>extremely large</t>
  </si>
  <si>
    <t>steel</t>
  </si>
  <si>
    <t>very large</t>
  </si>
  <si>
    <t>ferromagnetic</t>
  </si>
  <si>
    <t>properties of free space</t>
  </si>
  <si>
    <t>superconductor</t>
  </si>
  <si>
    <t>∞</t>
  </si>
  <si>
    <t>formula</t>
  </si>
  <si>
    <t>computed value</t>
  </si>
  <si>
    <t>explanation</t>
  </si>
  <si>
    <r>
      <t>c</t>
    </r>
    <r>
      <rPr>
        <vertAlign val="subscript"/>
        <sz val="11"/>
        <rFont val="Arial"/>
      </rPr>
      <t>0</t>
    </r>
    <r>
      <rPr>
        <vertAlign val="superscript"/>
        <sz val="11"/>
        <rFont val="Arial"/>
      </rPr>
      <t>2</t>
    </r>
    <r>
      <rPr>
        <sz val="11"/>
        <rFont val="Arial"/>
      </rPr>
      <t xml:space="preserve"> = 1 / (</t>
    </r>
    <r>
      <rPr>
        <sz val="11"/>
        <color theme="1"/>
        <rFont val="Arial"/>
      </rPr>
      <t>μ</t>
    </r>
    <r>
      <rPr>
        <vertAlign val="subscript"/>
        <sz val="11"/>
        <rFont val="Arial"/>
      </rPr>
      <t>0</t>
    </r>
    <r>
      <rPr>
        <sz val="11"/>
        <rFont val="Arial"/>
      </rPr>
      <t xml:space="preserve"> </t>
    </r>
    <r>
      <rPr>
        <sz val="11"/>
        <color theme="1"/>
        <rFont val="Arial"/>
      </rPr>
      <t>ε</t>
    </r>
    <r>
      <rPr>
        <vertAlign val="subscript"/>
        <sz val="11"/>
        <rFont val="Arial"/>
      </rPr>
      <t>0</t>
    </r>
    <r>
      <rPr>
        <sz val="11"/>
        <rFont val="Arial"/>
      </rPr>
      <t>)</t>
    </r>
  </si>
  <si>
    <r>
      <t>m</t>
    </r>
    <r>
      <rPr>
        <vertAlign val="superscript"/>
        <sz val="11"/>
        <rFont val="Arial"/>
      </rPr>
      <t>2</t>
    </r>
    <r>
      <rPr>
        <sz val="11"/>
        <rFont val="Arial"/>
      </rPr>
      <t xml:space="preserve"> s</t>
    </r>
    <r>
      <rPr>
        <vertAlign val="superscript"/>
        <sz val="11"/>
        <rFont val="Arial"/>
      </rPr>
      <t>-2</t>
    </r>
  </si>
  <si>
    <t>derived as solution to Maxwell's wave equations</t>
  </si>
  <si>
    <r>
      <t>c</t>
    </r>
    <r>
      <rPr>
        <vertAlign val="subscript"/>
        <sz val="11"/>
        <rFont val="Arial"/>
      </rPr>
      <t>0</t>
    </r>
    <r>
      <rPr>
        <sz val="11"/>
        <rFont val="Arial"/>
      </rPr>
      <t xml:space="preserve"> = 1 / (</t>
    </r>
    <r>
      <rPr>
        <sz val="11"/>
        <color theme="1"/>
        <rFont val="Arial"/>
      </rPr>
      <t>μ</t>
    </r>
    <r>
      <rPr>
        <vertAlign val="subscript"/>
        <sz val="11"/>
        <rFont val="Arial"/>
      </rPr>
      <t>0</t>
    </r>
    <r>
      <rPr>
        <sz val="11"/>
        <rFont val="Arial"/>
      </rPr>
      <t xml:space="preserve"> </t>
    </r>
    <r>
      <rPr>
        <sz val="11"/>
        <color theme="1"/>
        <rFont val="Arial"/>
      </rPr>
      <t>ε</t>
    </r>
    <r>
      <rPr>
        <vertAlign val="subscript"/>
        <sz val="11"/>
        <rFont val="Arial"/>
      </rPr>
      <t>0</t>
    </r>
    <r>
      <rPr>
        <sz val="11"/>
        <rFont val="Arial"/>
      </rPr>
      <t>)</t>
    </r>
    <r>
      <rPr>
        <vertAlign val="superscript"/>
        <sz val="11"/>
        <rFont val="Arial"/>
      </rPr>
      <t>0.5</t>
    </r>
  </si>
  <si>
    <t>electromagnetic waves propagate at speed of light</t>
  </si>
  <si>
    <r>
      <t>ε</t>
    </r>
    <r>
      <rPr>
        <vertAlign val="subscript"/>
        <sz val="11"/>
        <rFont val="Arial"/>
      </rPr>
      <t>0</t>
    </r>
    <r>
      <rPr>
        <sz val="11"/>
        <rFont val="Arial"/>
      </rPr>
      <t xml:space="preserve"> = 1 / (</t>
    </r>
    <r>
      <rPr>
        <sz val="11"/>
        <color theme="1"/>
        <rFont val="Arial"/>
      </rPr>
      <t>μ</t>
    </r>
    <r>
      <rPr>
        <vertAlign val="subscript"/>
        <sz val="11"/>
        <rFont val="Arial"/>
      </rPr>
      <t>0</t>
    </r>
    <r>
      <rPr>
        <sz val="11"/>
        <rFont val="Arial"/>
      </rPr>
      <t xml:space="preserve"> c</t>
    </r>
    <r>
      <rPr>
        <vertAlign val="subscript"/>
        <sz val="11"/>
        <rFont val="Arial"/>
      </rPr>
      <t>0</t>
    </r>
    <r>
      <rPr>
        <vertAlign val="superscript"/>
        <sz val="11"/>
        <rFont val="Arial"/>
      </rPr>
      <t>2</t>
    </r>
    <r>
      <rPr>
        <sz val="11"/>
        <rFont val="Arial"/>
      </rPr>
      <t>)</t>
    </r>
  </si>
  <si>
    <t>el. field constant can be derived from magn. field constant and speed of light</t>
  </si>
  <si>
    <r>
      <t>k</t>
    </r>
    <r>
      <rPr>
        <vertAlign val="subscript"/>
        <sz val="11"/>
        <rFont val="Arial"/>
      </rPr>
      <t>e</t>
    </r>
    <r>
      <rPr>
        <sz val="11"/>
        <rFont val="Arial"/>
      </rPr>
      <t xml:space="preserve"> = (μ</t>
    </r>
    <r>
      <rPr>
        <vertAlign val="subscript"/>
        <sz val="11"/>
        <rFont val="Arial"/>
      </rPr>
      <t>0</t>
    </r>
    <r>
      <rPr>
        <sz val="11"/>
        <rFont val="Arial"/>
      </rPr>
      <t xml:space="preserve"> c</t>
    </r>
    <r>
      <rPr>
        <vertAlign val="subscript"/>
        <sz val="11"/>
        <rFont val="Arial"/>
      </rPr>
      <t>0</t>
    </r>
    <r>
      <rPr>
        <vertAlign val="superscript"/>
        <sz val="11"/>
        <rFont val="Arial"/>
      </rPr>
      <t>2</t>
    </r>
    <r>
      <rPr>
        <sz val="11"/>
        <rFont val="Arial"/>
      </rPr>
      <t xml:space="preserve">) / (4 π) </t>
    </r>
  </si>
  <si>
    <t>Coulomb constant can be derived from magn. field constant and speed of light</t>
  </si>
  <si>
    <r>
      <t>μ</t>
    </r>
    <r>
      <rPr>
        <vertAlign val="subscript"/>
        <sz val="11"/>
        <rFont val="Arial"/>
      </rPr>
      <t>0</t>
    </r>
    <r>
      <rPr>
        <sz val="11"/>
        <rFont val="Arial"/>
      </rPr>
      <t xml:space="preserve"> / (4 π) </t>
    </r>
  </si>
  <si>
    <t xml:space="preserve">Oscillations </t>
  </si>
  <si>
    <t>Waves</t>
  </si>
  <si>
    <t xml:space="preserve">general equation of waves, second x derivative of amplitude is proportional to second time derivative of amplitude </t>
  </si>
  <si>
    <t>vertical (y) component of velocity of end point of unit radius</t>
  </si>
  <si>
    <t>amplitude is a function of time and distance, periodic by time and distance (space,location)</t>
  </si>
  <si>
    <t>vertical component of centripetal (negative) acceleration of end point of unit radius</t>
  </si>
  <si>
    <t>phase speed c determined by mechanical properties of medium in which the wave propagates, for transverse waves (oscillation perpendicular to propagation) c is a function of elasticity and density, for longitudinal waves (oscillation in same direction as propagation) c depends on resistance against spacial compression</t>
  </si>
  <si>
    <t>general equation of harmonic oscillations</t>
  </si>
  <si>
    <t>where:</t>
  </si>
  <si>
    <t>φ = ω t + θ</t>
  </si>
  <si>
    <t>c = λ f</t>
  </si>
  <si>
    <t>ω = 2 π f</t>
  </si>
  <si>
    <t>λ = c T</t>
  </si>
  <si>
    <t>f  = 1 / T</t>
  </si>
  <si>
    <t>T = 1 / f</t>
  </si>
  <si>
    <t>additional symbols used</t>
  </si>
  <si>
    <t>second time derivative</t>
  </si>
  <si>
    <t>c</t>
  </si>
  <si>
    <t>phase speed</t>
  </si>
  <si>
    <t>speed of wave propagation</t>
  </si>
  <si>
    <t>max. acceleration</t>
  </si>
  <si>
    <t>reached when velocity is zero</t>
  </si>
  <si>
    <t>x</t>
  </si>
  <si>
    <t>distance</t>
  </si>
  <si>
    <t>variable (for wave only)</t>
  </si>
  <si>
    <t>f</t>
  </si>
  <si>
    <t>frequency</t>
  </si>
  <si>
    <r>
      <t>s</t>
    </r>
    <r>
      <rPr>
        <vertAlign val="superscript"/>
        <sz val="11"/>
        <rFont val="Arial"/>
      </rPr>
      <t>-1</t>
    </r>
    <r>
      <rPr>
        <sz val="11"/>
        <rFont val="Arial"/>
      </rPr>
      <t xml:space="preserve"> or Hz</t>
    </r>
  </si>
  <si>
    <t>number of cycles per time</t>
  </si>
  <si>
    <t>δ</t>
  </si>
  <si>
    <t>partial differential</t>
  </si>
  <si>
    <t>with respect to time t and distance x</t>
  </si>
  <si>
    <t>variable</t>
  </si>
  <si>
    <t>λ</t>
  </si>
  <si>
    <t>wave length</t>
  </si>
  <si>
    <t>function of phase speed c and period T</t>
  </si>
  <si>
    <t>time for a full oscillation cycle</t>
  </si>
  <si>
    <t>first time derivative</t>
  </si>
  <si>
    <t>max. velocity</t>
  </si>
  <si>
    <t>reached when displacement is zero</t>
  </si>
  <si>
    <t>coordinate</t>
  </si>
  <si>
    <t xml:space="preserve">elongation (along y-axis), or amplitude </t>
  </si>
  <si>
    <t>max. elongation</t>
  </si>
  <si>
    <t>reached when direction of movement is reversed</t>
  </si>
  <si>
    <t>velocity of oscillation</t>
  </si>
  <si>
    <t>acceleration of oscillation</t>
  </si>
  <si>
    <t>θ</t>
  </si>
  <si>
    <t>angle</t>
  </si>
  <si>
    <t>phase shift (angle at  t = 0)</t>
  </si>
  <si>
    <t>φ</t>
  </si>
  <si>
    <t>angle of rotation of unit radius around origin</t>
  </si>
  <si>
    <t>rate of rotation in radians per second</t>
  </si>
  <si>
    <t>Quantum mechanics (selected basic formulas)</t>
  </si>
  <si>
    <t>E = h f</t>
  </si>
  <si>
    <r>
      <t>Planck</t>
    </r>
    <r>
      <rPr>
        <sz val="11"/>
        <rFont val="Arial"/>
      </rPr>
      <t xml:space="preserve">: (photon) energy is quantized (quantum proportional to frequency of electromagnetic radiation) </t>
    </r>
  </si>
  <si>
    <t>λ = h / p</t>
  </si>
  <si>
    <r>
      <t>de Broglie</t>
    </r>
    <r>
      <rPr>
        <sz val="11"/>
        <rFont val="Arial"/>
      </rPr>
      <t xml:space="preserve">: wavelength of matter wave inversely proportional to momentum </t>
    </r>
  </si>
  <si>
    <t>∆x ∆p ≥ ħ / 2</t>
  </si>
  <si>
    <r>
      <t>Heisenberg</t>
    </r>
    <r>
      <rPr>
        <sz val="11"/>
        <rFont val="Arial"/>
      </rPr>
      <t xml:space="preserve">: product of deviations from position and momentum always equal or larger than h bar  </t>
    </r>
  </si>
  <si>
    <t>ħ = h / 2 π</t>
  </si>
  <si>
    <t>Explanations</t>
  </si>
  <si>
    <t>energy quantum</t>
  </si>
  <si>
    <t>proportional to frequency</t>
  </si>
  <si>
    <t>wave's frequency</t>
  </si>
  <si>
    <r>
      <t>s</t>
    </r>
    <r>
      <rPr>
        <vertAlign val="superscript"/>
        <sz val="11"/>
        <rFont val="Arial"/>
      </rPr>
      <t>-1</t>
    </r>
  </si>
  <si>
    <t>frequency of matter wave (attributable to particle)</t>
  </si>
  <si>
    <t>proportionality factor between frequency and energy quantum</t>
  </si>
  <si>
    <t>particle's mass</t>
  </si>
  <si>
    <t>relativistic mass (rest mass at low velocities)</t>
  </si>
  <si>
    <t>particle's momentum</t>
  </si>
  <si>
    <t>product of relativistic mass and velocity</t>
  </si>
  <si>
    <t>particle's velocity</t>
  </si>
  <si>
    <t xml:space="preserve">often approaching the speed of light, relativity must be considered </t>
  </si>
  <si>
    <t>particle's position</t>
  </si>
  <si>
    <t xml:space="preserve">can only be determined with a probability range </t>
  </si>
  <si>
    <t>reduced Planck constant</t>
  </si>
  <si>
    <t>h bar (equals h divided by 2 π)</t>
  </si>
  <si>
    <t>particle's wave length</t>
  </si>
  <si>
    <t>applies also to waves of composite matter, λ then imperceptibly small</t>
  </si>
  <si>
    <t>Lorentz transformation</t>
  </si>
  <si>
    <r>
      <t xml:space="preserve">t ' = </t>
    </r>
    <r>
      <rPr>
        <sz val="11"/>
        <color theme="1"/>
        <rFont val="Arial"/>
      </rPr>
      <t>γ</t>
    </r>
    <r>
      <rPr>
        <sz val="11"/>
        <rFont val="Arial"/>
      </rPr>
      <t xml:space="preserve"> ( t - v x / c</t>
    </r>
    <r>
      <rPr>
        <vertAlign val="superscript"/>
        <sz val="11"/>
        <rFont val="Arial"/>
      </rPr>
      <t>2</t>
    </r>
    <r>
      <rPr>
        <sz val="11"/>
        <rFont val="Arial"/>
      </rPr>
      <t xml:space="preserve"> )</t>
    </r>
  </si>
  <si>
    <t>time dilatation, e.g. at 10% of the speed of light the time stretches by 0.5%</t>
  </si>
  <si>
    <r>
      <t xml:space="preserve">x ' = </t>
    </r>
    <r>
      <rPr>
        <sz val="11"/>
        <color theme="1"/>
        <rFont val="Arial"/>
      </rPr>
      <t>γ</t>
    </r>
    <r>
      <rPr>
        <sz val="11"/>
        <rFont val="Arial"/>
      </rPr>
      <t xml:space="preserve"> ( x - v t )</t>
    </r>
  </si>
  <si>
    <t>length contraction, e.g. at 10% of the speed of light the length in direction of the velocity shrinks by 0.5%</t>
  </si>
  <si>
    <t>y' = y</t>
  </si>
  <si>
    <t>no change of length in y-direction</t>
  </si>
  <si>
    <t>z' = z</t>
  </si>
  <si>
    <t>no change of length in z-direction</t>
  </si>
  <si>
    <r>
      <t>γ = 1 / (1 - β</t>
    </r>
    <r>
      <rPr>
        <vertAlign val="superscript"/>
        <sz val="11"/>
        <rFont val="Arial"/>
      </rPr>
      <t>2</t>
    </r>
    <r>
      <rPr>
        <sz val="11"/>
        <rFont val="Arial"/>
      </rPr>
      <t xml:space="preserve"> ) </t>
    </r>
    <r>
      <rPr>
        <vertAlign val="superscript"/>
        <sz val="11"/>
        <rFont val="Arial"/>
      </rPr>
      <t>0.5</t>
    </r>
  </si>
  <si>
    <t>Lorentz factor, velocity-dependent</t>
  </si>
  <si>
    <r>
      <t>β</t>
    </r>
    <r>
      <rPr>
        <sz val="11"/>
        <rFont val="Arial"/>
      </rPr>
      <t xml:space="preserve"> = v / c</t>
    </r>
  </si>
  <si>
    <t>velocity in terms of speed of light</t>
  </si>
  <si>
    <t>speed of light</t>
  </si>
  <si>
    <t>invariant, normally speed of light in vacuum:</t>
  </si>
  <si>
    <t xml:space="preserve">stretches at relativistic speeds </t>
  </si>
  <si>
    <t>at 10% of speed of light, the relativistic effect is 0.5%</t>
  </si>
  <si>
    <t>x-coordinate</t>
  </si>
  <si>
    <t>shortens at relativistic speeds</t>
  </si>
  <si>
    <t>y-coordinate</t>
  </si>
  <si>
    <t>invariant spacial coordinate</t>
  </si>
  <si>
    <t>z</t>
  </si>
  <si>
    <t>z-coordinate</t>
  </si>
  <si>
    <t>β</t>
  </si>
  <si>
    <t>v in terms of c</t>
  </si>
  <si>
    <t>ratio of velocity and speed of light, 0 in nonrelativistic situation</t>
  </si>
  <si>
    <t>γ</t>
  </si>
  <si>
    <t>Lorentz factor</t>
  </si>
  <si>
    <t>factor to simplify formulas and calculations, 1 in nonrelativistic situation</t>
  </si>
  <si>
    <t>Mass-energy equivalence</t>
  </si>
  <si>
    <r>
      <t>E = m c</t>
    </r>
    <r>
      <rPr>
        <vertAlign val="superscript"/>
        <sz val="11"/>
        <rFont val="Arial"/>
      </rPr>
      <t>2</t>
    </r>
  </si>
  <si>
    <t>Einstein's most famous formula</t>
  </si>
  <si>
    <t>Symbols:</t>
  </si>
  <si>
    <r>
      <t>c</t>
    </r>
    <r>
      <rPr>
        <vertAlign val="superscript"/>
        <sz val="11"/>
        <rFont val="Arial"/>
      </rPr>
      <t>2</t>
    </r>
    <r>
      <rPr>
        <sz val="11"/>
        <rFont val="Arial"/>
      </rPr>
      <t xml:space="preserve"> is a 'conversion' factor to express E and m in same dimension</t>
    </r>
  </si>
  <si>
    <t>rest energy, comprises all types of energy</t>
  </si>
  <si>
    <t>rest mass</t>
  </si>
  <si>
    <t xml:space="preserve">Formula follows from conservation of energy, momentum, and mass in all inertial systems (relativistic and nonrelativistic). Energy and mass are equivalent, they are different expressions of the same entity, they are not converted into each other.  </t>
  </si>
  <si>
    <t xml:space="preserve">1 kg mass is equivalent to: </t>
  </si>
  <si>
    <t xml:space="preserve">J </t>
  </si>
  <si>
    <t>TWh</t>
  </si>
  <si>
    <t>TeV</t>
  </si>
  <si>
    <t>elementary charge:</t>
  </si>
  <si>
    <r>
      <t>R = k N</t>
    </r>
    <r>
      <rPr>
        <vertAlign val="subscript"/>
        <sz val="11"/>
        <rFont val="Arial"/>
      </rPr>
      <t>A</t>
    </r>
  </si>
  <si>
    <t>gas constant equals Boltzmann constant times Avogadro constant</t>
  </si>
  <si>
    <t>Velocity</t>
  </si>
  <si>
    <r>
      <t>v = (3 R</t>
    </r>
    <r>
      <rPr>
        <vertAlign val="subscript"/>
        <sz val="11"/>
        <rFont val="Arial"/>
      </rPr>
      <t xml:space="preserve"> i</t>
    </r>
    <r>
      <rPr>
        <sz val="11"/>
        <rFont val="Arial"/>
      </rPr>
      <t xml:space="preserve"> T)</t>
    </r>
    <r>
      <rPr>
        <vertAlign val="superscript"/>
        <sz val="11"/>
        <rFont val="Arial"/>
      </rPr>
      <t>0.5</t>
    </r>
  </si>
  <si>
    <t>root of mean square of molecule's velocity</t>
  </si>
  <si>
    <t>Pressure</t>
  </si>
  <si>
    <r>
      <t>p = ρ v</t>
    </r>
    <r>
      <rPr>
        <vertAlign val="superscript"/>
        <sz val="11"/>
        <rFont val="Arial"/>
      </rPr>
      <t>2</t>
    </r>
    <r>
      <rPr>
        <sz val="11"/>
        <rFont val="Arial"/>
      </rPr>
      <t xml:space="preserve"> / 3 </t>
    </r>
  </si>
  <si>
    <t>deduced from molecules' impact on wall of cube</t>
  </si>
  <si>
    <t>Mean kinetic energy</t>
  </si>
  <si>
    <t>E = 3/2 k T</t>
  </si>
  <si>
    <t>for monatomic molecule (5/3 k T if diatomic)</t>
  </si>
  <si>
    <t>Collision frequency</t>
  </si>
  <si>
    <r>
      <t xml:space="preserve">z = 2 </t>
    </r>
    <r>
      <rPr>
        <vertAlign val="superscript"/>
        <sz val="11"/>
        <rFont val="Arial"/>
      </rPr>
      <t>0.5</t>
    </r>
    <r>
      <rPr>
        <sz val="11"/>
        <rFont val="Arial"/>
      </rPr>
      <t xml:space="preserve"> π d</t>
    </r>
    <r>
      <rPr>
        <vertAlign val="superscript"/>
        <sz val="11"/>
        <rFont val="Arial"/>
      </rPr>
      <t>2</t>
    </r>
    <r>
      <rPr>
        <sz val="11"/>
        <rFont val="Arial"/>
      </rPr>
      <t xml:space="preserve"> v p / k T</t>
    </r>
  </si>
  <si>
    <t>for single molecule</t>
  </si>
  <si>
    <t>Mean free path</t>
  </si>
  <si>
    <r>
      <t>l = k T / (π 2</t>
    </r>
    <r>
      <rPr>
        <vertAlign val="superscript"/>
        <sz val="11"/>
        <rFont val="Arial"/>
      </rPr>
      <t xml:space="preserve"> 0.5</t>
    </r>
    <r>
      <rPr>
        <sz val="11"/>
        <rFont val="Arial"/>
      </rPr>
      <t xml:space="preserve"> d</t>
    </r>
    <r>
      <rPr>
        <vertAlign val="superscript"/>
        <sz val="11"/>
        <rFont val="Arial"/>
      </rPr>
      <t>2</t>
    </r>
    <r>
      <rPr>
        <sz val="11"/>
        <rFont val="Arial"/>
      </rPr>
      <t xml:space="preserve"> p)</t>
    </r>
  </si>
  <si>
    <t>average distance traveled between two collisions</t>
  </si>
  <si>
    <t>Entropy</t>
  </si>
  <si>
    <t>S = k ln Ω</t>
  </si>
  <si>
    <t>measure of possible microscopic conditions in a</t>
  </si>
  <si>
    <t>system, based on statistical probability</t>
  </si>
  <si>
    <t>diameter of molecule</t>
  </si>
  <si>
    <t>mean kinetic energy</t>
  </si>
  <si>
    <r>
      <t>J (or N m  or kg m</t>
    </r>
    <r>
      <rPr>
        <vertAlign val="superscript"/>
        <sz val="11"/>
        <rFont val="Arial"/>
      </rPr>
      <t>2</t>
    </r>
    <r>
      <rPr>
        <sz val="11"/>
        <rFont val="Arial"/>
      </rPr>
      <t xml:space="preserve"> s</t>
    </r>
    <r>
      <rPr>
        <vertAlign val="superscript"/>
        <sz val="11"/>
        <rFont val="Arial"/>
      </rPr>
      <t>-2</t>
    </r>
    <r>
      <rPr>
        <sz val="11"/>
        <rFont val="Arial"/>
      </rPr>
      <t>)</t>
    </r>
  </si>
  <si>
    <t>l</t>
  </si>
  <si>
    <t>mean free path</t>
  </si>
  <si>
    <t>mol</t>
  </si>
  <si>
    <t>moles</t>
  </si>
  <si>
    <t xml:space="preserve">number </t>
  </si>
  <si>
    <t>molecules</t>
  </si>
  <si>
    <t>pressure</t>
  </si>
  <si>
    <r>
      <t>Pa (or N m</t>
    </r>
    <r>
      <rPr>
        <vertAlign val="superscript"/>
        <sz val="11"/>
        <rFont val="Arial"/>
      </rPr>
      <t xml:space="preserve">-2 </t>
    </r>
    <r>
      <rPr>
        <sz val="11"/>
        <rFont val="Arial"/>
      </rPr>
      <t>)</t>
    </r>
  </si>
  <si>
    <r>
      <t>R</t>
    </r>
    <r>
      <rPr>
        <vertAlign val="subscript"/>
        <sz val="11"/>
        <rFont val="Arial"/>
      </rPr>
      <t xml:space="preserve"> I</t>
    </r>
  </si>
  <si>
    <t>specific gas constant</t>
  </si>
  <si>
    <r>
      <t>J kg</t>
    </r>
    <r>
      <rPr>
        <vertAlign val="superscript"/>
        <sz val="11"/>
        <rFont val="Arial"/>
      </rPr>
      <t>-1</t>
    </r>
    <r>
      <rPr>
        <sz val="11"/>
        <rFont val="Arial"/>
      </rPr>
      <t xml:space="preserve"> K</t>
    </r>
    <r>
      <rPr>
        <vertAlign val="superscript"/>
        <sz val="11"/>
        <rFont val="Arial"/>
      </rPr>
      <t>-1</t>
    </r>
  </si>
  <si>
    <t>S</t>
  </si>
  <si>
    <t>entropy</t>
  </si>
  <si>
    <t>absolute temperature</t>
  </si>
  <si>
    <t>K</t>
  </si>
  <si>
    <t>volume</t>
  </si>
  <si>
    <r>
      <t>m</t>
    </r>
    <r>
      <rPr>
        <vertAlign val="superscript"/>
        <sz val="11"/>
        <rFont val="Arial"/>
      </rPr>
      <t>3</t>
    </r>
  </si>
  <si>
    <t>collision frequency</t>
  </si>
  <si>
    <t>density</t>
  </si>
  <si>
    <r>
      <t>kg m</t>
    </r>
    <r>
      <rPr>
        <vertAlign val="superscript"/>
        <sz val="11"/>
        <rFont val="Arial"/>
      </rPr>
      <t>-3</t>
    </r>
  </si>
  <si>
    <t>Ω</t>
  </si>
  <si>
    <t xml:space="preserve">number of possible microstates in a system of given macrostate </t>
  </si>
  <si>
    <t>amount of substance</t>
  </si>
  <si>
    <t>y-axis projection of unit radius (r = 1, circle center in origin, rotation anticlock-wise)</t>
  </si>
  <si>
    <t>a harmonic oscillation follows a sine function, described by the amplitude of a unit radius rotating in cartesian coordinates (uniform circular motion)</t>
  </si>
  <si>
    <r>
      <t xml:space="preserve">permittivity (resistance to build electric field) equals vacuum permittivity times material factor </t>
    </r>
    <r>
      <rPr>
        <sz val="11"/>
        <color theme="1"/>
        <rFont val="Arial Narrow"/>
      </rPr>
      <t>ε</t>
    </r>
    <r>
      <rPr>
        <vertAlign val="subscript"/>
        <sz val="11"/>
        <rFont val="Arial Narrow"/>
      </rPr>
      <t>r</t>
    </r>
  </si>
  <si>
    <r>
      <t>permeability (to magnetic field) equals vacuum permeability times material factor μ</t>
    </r>
    <r>
      <rPr>
        <vertAlign val="subscript"/>
        <sz val="11"/>
        <rFont val="Arial Narrow"/>
      </rPr>
      <t>r</t>
    </r>
  </si>
  <si>
    <r>
      <t>Ampere</t>
    </r>
    <r>
      <rPr>
        <sz val="11"/>
        <rFont val="Arial Narrow"/>
      </rPr>
      <t>: magnetic flux caused by electric current, proportionality factor L (inductance) varies w. solenoid geometry &amp; material</t>
    </r>
  </si>
  <si>
    <r>
      <t>Faraday</t>
    </r>
    <r>
      <rPr>
        <sz val="11"/>
        <rFont val="Arial Narrow"/>
      </rPr>
      <t>: induced voltage (opposed direction) caused by changing magnetic flux</t>
    </r>
  </si>
  <si>
    <r>
      <t xml:space="preserve">curl of magnetic field depends on current density (Ampere's law) and </t>
    </r>
    <r>
      <rPr>
        <b/>
        <sz val="11"/>
        <rFont val="Arial Narrow"/>
      </rPr>
      <t>Maxwell's correction</t>
    </r>
    <r>
      <rPr>
        <sz val="11"/>
        <rFont val="Arial Narrow"/>
      </rPr>
      <t xml:space="preserve">  </t>
    </r>
  </si>
  <si>
    <r>
      <t>μ</t>
    </r>
    <r>
      <rPr>
        <vertAlign val="subscript"/>
        <sz val="11"/>
        <rFont val="Arial Narrow"/>
      </rPr>
      <t>0</t>
    </r>
    <r>
      <rPr>
        <sz val="11"/>
        <rFont val="Arial Narrow"/>
      </rPr>
      <t xml:space="preserve"> is defined as consequence of SI definition of ampere</t>
    </r>
  </si>
  <si>
    <r>
      <t xml:space="preserve">determines frequency  f = </t>
    </r>
    <r>
      <rPr>
        <sz val="11"/>
        <color theme="1"/>
        <rFont val="Arial Narrow"/>
      </rPr>
      <t xml:space="preserve">ω </t>
    </r>
    <r>
      <rPr>
        <sz val="11"/>
        <rFont val="Arial Narrow"/>
      </rPr>
      <t xml:space="preserve">/ 2 </t>
    </r>
    <r>
      <rPr>
        <sz val="11"/>
        <color theme="1"/>
        <rFont val="Arial Narrow"/>
      </rPr>
      <t>π</t>
    </r>
  </si>
  <si>
    <t>derivative</t>
  </si>
  <si>
    <t xml:space="preserve">electrostatic force in vacuum determined by charges and their distance (positive if repulsion, negative if attraction) </t>
  </si>
  <si>
    <r>
      <t>F = m ω</t>
    </r>
    <r>
      <rPr>
        <vertAlign val="superscript"/>
        <sz val="11"/>
        <rFont val="Arial"/>
      </rPr>
      <t>2</t>
    </r>
    <r>
      <rPr>
        <sz val="11"/>
        <rFont val="Arial"/>
      </rPr>
      <t xml:space="preserve"> r = m v</t>
    </r>
    <r>
      <rPr>
        <vertAlign val="superscript"/>
        <sz val="11"/>
        <rFont val="Arial"/>
      </rPr>
      <t>2</t>
    </r>
    <r>
      <rPr>
        <sz val="11"/>
        <rFont val="Arial"/>
      </rPr>
      <t xml:space="preserve"> / r = p ω </t>
    </r>
  </si>
  <si>
    <t>Example computation: Earth-Moon gravity</t>
  </si>
  <si>
    <r>
      <t>m s</t>
    </r>
    <r>
      <rPr>
        <b/>
        <vertAlign val="superscript"/>
        <sz val="11"/>
        <rFont val="Arial"/>
      </rPr>
      <t>-2</t>
    </r>
  </si>
  <si>
    <t>also called vacuum permeability</t>
  </si>
  <si>
    <t>Electron rest mass</t>
  </si>
  <si>
    <t>Proton rest mass</t>
  </si>
  <si>
    <r>
      <t>computed from G, c</t>
    </r>
    <r>
      <rPr>
        <vertAlign val="subscript"/>
        <sz val="11"/>
        <rFont val="Arial"/>
      </rPr>
      <t>0</t>
    </r>
    <r>
      <rPr>
        <sz val="11"/>
        <rFont val="Arial"/>
      </rPr>
      <t xml:space="preserve">, ħ </t>
    </r>
  </si>
  <si>
    <r>
      <t>computed from c</t>
    </r>
    <r>
      <rPr>
        <vertAlign val="subscript"/>
        <sz val="11"/>
        <rFont val="Arial"/>
      </rPr>
      <t>0</t>
    </r>
    <r>
      <rPr>
        <sz val="11"/>
        <rFont val="Arial"/>
      </rPr>
      <t>, μ</t>
    </r>
    <r>
      <rPr>
        <vertAlign val="subscript"/>
        <sz val="11"/>
        <rFont val="Arial"/>
      </rPr>
      <t>0</t>
    </r>
    <r>
      <rPr>
        <sz val="11"/>
        <rFont val="Arial"/>
      </rPr>
      <t xml:space="preserve"> </t>
    </r>
  </si>
  <si>
    <t>composite of elementary masses</t>
  </si>
  <si>
    <t>p V = N R T</t>
  </si>
  <si>
    <t>number of molecules equals number of moles times Avogadro constant</t>
  </si>
  <si>
    <t>empirical: product p V proportional to T and N (number of moles)</t>
  </si>
  <si>
    <r>
      <t>p V = n</t>
    </r>
    <r>
      <rPr>
        <sz val="11"/>
        <rFont val="Arial"/>
      </rPr>
      <t xml:space="preserve"> k T</t>
    </r>
  </si>
  <si>
    <r>
      <t>theoretical: product p V proportional to n</t>
    </r>
    <r>
      <rPr>
        <sz val="11"/>
        <rFont val="Arial"/>
      </rPr>
      <t xml:space="preserve"> (number of molecules)</t>
    </r>
  </si>
  <si>
    <r>
      <t>n = N N</t>
    </r>
    <r>
      <rPr>
        <vertAlign val="subscript"/>
        <sz val="11"/>
        <rFont val="Arial"/>
      </rPr>
      <t>A</t>
    </r>
    <r>
      <rPr>
        <sz val="11"/>
        <rFont val="Arial"/>
      </rPr>
      <t xml:space="preserve"> </t>
    </r>
  </si>
  <si>
    <t>Mathematical constants</t>
  </si>
  <si>
    <t>Fundamental physical constants</t>
  </si>
  <si>
    <t>Derived constants</t>
  </si>
  <si>
    <t>Formulas Classical Mechanics</t>
  </si>
  <si>
    <t>Formulas Oscillations and Waves</t>
  </si>
  <si>
    <t>Formulas Thermodynamics</t>
  </si>
  <si>
    <t xml:space="preserve">Ideal gas law </t>
  </si>
  <si>
    <t>Kinetic molecular gas theory</t>
  </si>
  <si>
    <t>Formulas Electromagnetism</t>
  </si>
  <si>
    <t>Coulomb's law</t>
  </si>
  <si>
    <t>Ampere's &amp; Faraday's laws</t>
  </si>
  <si>
    <t>Electric &amp; magnetic fields</t>
  </si>
  <si>
    <t>Electric harmonic oscillator (LC-circuit)</t>
  </si>
  <si>
    <t>Maxwell's equations</t>
  </si>
  <si>
    <r>
      <t>ε</t>
    </r>
    <r>
      <rPr>
        <b/>
        <vertAlign val="subscript"/>
        <sz val="11"/>
        <rFont val="Arial"/>
      </rPr>
      <t>r</t>
    </r>
  </si>
  <si>
    <r>
      <t>μ</t>
    </r>
    <r>
      <rPr>
        <b/>
        <vertAlign val="subscript"/>
        <sz val="11"/>
        <rFont val="Arial"/>
      </rPr>
      <t>r</t>
    </r>
  </si>
  <si>
    <t>Formulas Quantum mechanics &amp;  Relativity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</si>
</sst>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0"/>
    <numFmt numFmtId="165" formatCode="0.0"/>
    <numFmt numFmtId="166" formatCode="0.00000"/>
    <numFmt numFmtId="167" formatCode="0.0000000"/>
    <numFmt numFmtId="168" formatCode="0.00000000"/>
    <numFmt numFmtId="169" formatCode="0.000E+00;\ꀃ"/>
    <numFmt numFmtId="170" formatCode="0.0E+00;\ꀃ"/>
    <numFmt numFmtId="171" formatCode="0.0E+00;\_x0002_"/>
    <numFmt numFmtId="172" formatCode="0.0E+00;\_x0000_"/>
    <numFmt numFmtId="173" formatCode="0.0E+00;\'"/>
    <numFmt numFmtId="174" formatCode="0.0E+00;\ꁆ"/>
    <numFmt numFmtId="175" formatCode="0.0000"/>
    <numFmt numFmtId="176" formatCode="0.00E+00;\ꀃ"/>
    <numFmt numFmtId="177" formatCode="0.0.E+00"/>
    <numFmt numFmtId="178" formatCode="0.00E+00;\_x0000_"/>
    <numFmt numFmtId="179" formatCode="0.000000"/>
    <numFmt numFmtId="180" formatCode="0.0E+00;\ꁽ"/>
    <numFmt numFmtId="181" formatCode="0.0E+00;\ꃄ"/>
    <numFmt numFmtId="182" formatCode="#,##0.0"/>
    <numFmt numFmtId="183" formatCode="0.0E+00"/>
  </numFmts>
  <fonts count="46" x14ac:knownFonts="1">
    <font>
      <sz val="12"/>
      <color theme="1"/>
      <name val="Calibri"/>
      <family val="2"/>
      <scheme val="minor"/>
    </font>
    <font>
      <b/>
      <sz val="16"/>
      <name val="Verdana"/>
    </font>
    <font>
      <sz val="11"/>
      <color theme="1"/>
      <name val="Arial"/>
    </font>
    <font>
      <sz val="11"/>
      <name val="Arial"/>
    </font>
    <font>
      <u/>
      <sz val="11"/>
      <name val="Arial"/>
    </font>
    <font>
      <b/>
      <sz val="11"/>
      <name val="Arial"/>
    </font>
    <font>
      <i/>
      <u/>
      <sz val="11"/>
      <name val="Arial"/>
    </font>
    <font>
      <vertAlign val="superscript"/>
      <sz val="11"/>
      <name val="Arial"/>
    </font>
    <font>
      <vertAlign val="subscript"/>
      <sz val="11"/>
      <name val="Arial"/>
    </font>
    <font>
      <b/>
      <sz val="14"/>
      <name val="Verdana"/>
    </font>
    <font>
      <i/>
      <sz val="11"/>
      <name val="Arial"/>
    </font>
    <font>
      <b/>
      <sz val="10"/>
      <name val="Verdana"/>
    </font>
    <font>
      <i/>
      <u/>
      <sz val="11"/>
      <color theme="1"/>
      <name val="Arial"/>
    </font>
    <font>
      <sz val="11"/>
      <color theme="1"/>
      <name val="Calibri"/>
      <family val="2"/>
      <scheme val="minor"/>
    </font>
    <font>
      <i/>
      <sz val="11"/>
      <color theme="1"/>
      <name val="Arial"/>
    </font>
    <font>
      <sz val="10"/>
      <name val="Arial"/>
    </font>
    <font>
      <sz val="12"/>
      <color theme="1"/>
      <name val="Arial"/>
    </font>
    <font>
      <b/>
      <u/>
      <sz val="11"/>
      <name val="Arial"/>
    </font>
    <font>
      <b/>
      <sz val="10"/>
      <name val="Arial Narrow"/>
    </font>
    <font>
      <sz val="9"/>
      <color theme="1"/>
      <name val="Arial Narrow"/>
    </font>
    <font>
      <b/>
      <u/>
      <sz val="9"/>
      <name val="Arial Narrow"/>
    </font>
    <font>
      <sz val="9"/>
      <name val="Arial Narrow"/>
    </font>
    <font>
      <i/>
      <sz val="9"/>
      <name val="Arial Narrow"/>
    </font>
    <font>
      <vertAlign val="superscript"/>
      <sz val="9"/>
      <name val="Arial Narrow"/>
    </font>
    <font>
      <i/>
      <u/>
      <sz val="9"/>
      <name val="Arial Narrow"/>
    </font>
    <font>
      <i/>
      <vertAlign val="superscript"/>
      <sz val="9"/>
      <name val="Arial Narrow"/>
    </font>
    <font>
      <sz val="9"/>
      <color indexed="55"/>
      <name val="Arial Narrow"/>
    </font>
    <font>
      <sz val="9"/>
      <color theme="0" tint="-0.34998626667073579"/>
      <name val="Arial Narrow"/>
    </font>
    <font>
      <sz val="12"/>
      <color theme="1"/>
      <name val="Arial Narrow"/>
    </font>
    <font>
      <sz val="10"/>
      <name val="Arial Narrow"/>
    </font>
    <font>
      <b/>
      <sz val="11"/>
      <name val="Arial Narrow"/>
    </font>
    <font>
      <sz val="11"/>
      <name val="Times New Roman"/>
    </font>
    <font>
      <sz val="11"/>
      <color theme="1"/>
      <name val="Times New Roman"/>
    </font>
    <font>
      <sz val="11"/>
      <name val="Arial Narrow"/>
    </font>
    <font>
      <sz val="11"/>
      <color theme="1"/>
      <name val="Arial Narrow"/>
    </font>
    <font>
      <b/>
      <sz val="12"/>
      <name val="Arial"/>
    </font>
    <font>
      <vertAlign val="subscript"/>
      <sz val="11"/>
      <name val="Arial Narrow"/>
    </font>
    <font>
      <i/>
      <sz val="11"/>
      <name val="Arial Narrow"/>
    </font>
    <font>
      <sz val="9"/>
      <color theme="1"/>
      <name val="Calibri"/>
      <family val="2"/>
      <scheme val="minor"/>
    </font>
    <font>
      <b/>
      <vertAlign val="superscript"/>
      <sz val="11"/>
      <name val="Arial"/>
    </font>
    <font>
      <u/>
      <sz val="12"/>
      <color theme="10"/>
      <name val="Calibri"/>
      <family val="2"/>
      <scheme val="minor"/>
    </font>
    <font>
      <u/>
      <sz val="12"/>
      <color theme="11"/>
      <name val="Calibri"/>
      <family val="2"/>
      <scheme val="minor"/>
    </font>
    <font>
      <b/>
      <sz val="18"/>
      <color theme="1"/>
      <name val="Verdana"/>
    </font>
    <font>
      <b/>
      <sz val="18"/>
      <name val="Verdana"/>
    </font>
    <font>
      <b/>
      <sz val="14"/>
      <name val="Arial"/>
    </font>
    <font>
      <b/>
      <vertAlign val="subscript"/>
      <sz val="11"/>
      <name val="Arial"/>
    </font>
  </fonts>
  <fills count="6">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auto="1"/>
      </left>
      <right/>
      <top/>
      <bottom/>
      <diagonal/>
    </border>
  </borders>
  <cellStyleXfs count="5">
    <xf numFmtId="0" fontId="0" fillId="0" borderId="0"/>
    <xf numFmtId="0" fontId="40" fillId="0" borderId="0" applyNumberFormat="0" applyFill="0" applyBorder="0" applyAlignment="0" applyProtection="0"/>
    <xf numFmtId="0" fontId="41" fillId="0" borderId="0" applyNumberForma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cellStyleXfs>
  <cellXfs count="314">
    <xf numFmtId="0" fontId="0" fillId="0" borderId="0" xfId="0"/>
    <xf numFmtId="0" fontId="0" fillId="0" borderId="4" xfId="0" applyBorder="1"/>
    <xf numFmtId="0" fontId="0" fillId="0" borderId="0" xfId="0" applyBorder="1"/>
    <xf numFmtId="0" fontId="0" fillId="0" borderId="5" xfId="0" applyBorder="1"/>
    <xf numFmtId="0" fontId="2" fillId="0" borderId="4" xfId="0" applyFont="1" applyBorder="1"/>
    <xf numFmtId="0" fontId="2" fillId="0" borderId="0" xfId="0" applyFont="1" applyBorder="1"/>
    <xf numFmtId="0" fontId="3" fillId="0" borderId="0" xfId="0" applyFont="1" applyBorder="1"/>
    <xf numFmtId="0" fontId="4" fillId="0" borderId="0" xfId="0" applyFont="1" applyBorder="1"/>
    <xf numFmtId="0" fontId="3" fillId="0" borderId="0" xfId="0" applyFont="1" applyFill="1" applyBorder="1"/>
    <xf numFmtId="0" fontId="5" fillId="0" borderId="0" xfId="0" applyFont="1" applyFill="1" applyBorder="1"/>
    <xf numFmtId="0" fontId="2" fillId="0" borderId="0" xfId="0" applyFont="1" applyFill="1" applyBorder="1"/>
    <xf numFmtId="164" fontId="3" fillId="0" borderId="0" xfId="0" applyNumberFormat="1" applyFont="1" applyBorder="1" applyAlignment="1">
      <alignment horizontal="center"/>
    </xf>
    <xf numFmtId="0" fontId="3" fillId="0" borderId="0" xfId="0" applyFont="1" applyBorder="1" applyAlignment="1">
      <alignment horizontal="right"/>
    </xf>
    <xf numFmtId="0" fontId="4" fillId="0" borderId="4" xfId="0" applyFont="1" applyBorder="1" applyAlignment="1">
      <alignment horizontal="center"/>
    </xf>
    <xf numFmtId="0" fontId="3" fillId="0" borderId="4" xfId="0" applyFont="1" applyBorder="1"/>
    <xf numFmtId="3" fontId="3" fillId="0" borderId="0" xfId="0" applyNumberFormat="1" applyFont="1" applyBorder="1"/>
    <xf numFmtId="1" fontId="3" fillId="0" borderId="5" xfId="0" applyNumberFormat="1" applyFont="1" applyBorder="1"/>
    <xf numFmtId="165" fontId="3" fillId="0" borderId="5" xfId="0" applyNumberFormat="1" applyFont="1" applyBorder="1"/>
    <xf numFmtId="2" fontId="3" fillId="0" borderId="5" xfId="0" applyNumberFormat="1" applyFont="1" applyBorder="1"/>
    <xf numFmtId="164" fontId="3" fillId="0" borderId="5" xfId="0" applyNumberFormat="1" applyFont="1" applyBorder="1"/>
    <xf numFmtId="166" fontId="3" fillId="0" borderId="5" xfId="0" applyNumberFormat="1" applyFont="1" applyBorder="1"/>
    <xf numFmtId="167" fontId="3" fillId="0" borderId="5" xfId="0" applyNumberFormat="1" applyFont="1" applyBorder="1"/>
    <xf numFmtId="0" fontId="6" fillId="0" borderId="4" xfId="0" applyFont="1" applyBorder="1"/>
    <xf numFmtId="0" fontId="3" fillId="0" borderId="5" xfId="0" applyFont="1" applyBorder="1"/>
    <xf numFmtId="0" fontId="3" fillId="0" borderId="5" xfId="0" applyFont="1" applyBorder="1" applyAlignment="1">
      <alignment vertical="center"/>
    </xf>
    <xf numFmtId="0" fontId="3" fillId="0" borderId="4" xfId="0" applyFont="1" applyBorder="1" applyAlignment="1">
      <alignment vertical="center"/>
    </xf>
    <xf numFmtId="0" fontId="3" fillId="0" borderId="4" xfId="0" quotePrefix="1" applyFont="1" applyBorder="1" applyAlignment="1">
      <alignment vertical="center"/>
    </xf>
    <xf numFmtId="0" fontId="5" fillId="0" borderId="6" xfId="0" applyFont="1" applyBorder="1"/>
    <xf numFmtId="0" fontId="3" fillId="0" borderId="7" xfId="0" applyFont="1" applyBorder="1"/>
    <xf numFmtId="0" fontId="3" fillId="0" borderId="8" xfId="0" applyFont="1" applyBorder="1"/>
    <xf numFmtId="0" fontId="5" fillId="0" borderId="0" xfId="0" applyFont="1" applyBorder="1"/>
    <xf numFmtId="0" fontId="3" fillId="0" borderId="0" xfId="0" applyFont="1" applyBorder="1" applyAlignment="1">
      <alignment horizontal="center" vertical="center"/>
    </xf>
    <xf numFmtId="0" fontId="3" fillId="0" borderId="0" xfId="0" applyFont="1" applyFill="1" applyBorder="1" applyAlignment="1">
      <alignment horizontal="center"/>
    </xf>
    <xf numFmtId="11" fontId="3" fillId="0" borderId="0" xfId="0" applyNumberFormat="1" applyFont="1" applyBorder="1" applyAlignment="1">
      <alignment horizontal="center"/>
    </xf>
    <xf numFmtId="0" fontId="3" fillId="0" borderId="5" xfId="0" applyFont="1" applyBorder="1" applyAlignment="1">
      <alignment horizontal="center"/>
    </xf>
    <xf numFmtId="3" fontId="3" fillId="0" borderId="0" xfId="0" applyNumberFormat="1" applyFont="1" applyBorder="1" applyAlignment="1">
      <alignment horizontal="center"/>
    </xf>
    <xf numFmtId="165" fontId="3" fillId="0" borderId="0" xfId="0" applyNumberFormat="1" applyFont="1" applyBorder="1" applyAlignment="1">
      <alignment horizontal="center"/>
    </xf>
    <xf numFmtId="0" fontId="3" fillId="0" borderId="0" xfId="0" quotePrefix="1" applyFont="1" applyBorder="1"/>
    <xf numFmtId="0" fontId="0" fillId="0" borderId="6" xfId="0" applyBorder="1"/>
    <xf numFmtId="0" fontId="0" fillId="0" borderId="7" xfId="0" applyBorder="1"/>
    <xf numFmtId="0" fontId="0" fillId="0" borderId="8" xfId="0" applyBorder="1"/>
    <xf numFmtId="0" fontId="2" fillId="0" borderId="5" xfId="0" applyFont="1" applyFill="1" applyBorder="1"/>
    <xf numFmtId="0" fontId="4" fillId="0" borderId="0" xfId="0" applyFont="1" applyBorder="1" applyAlignment="1">
      <alignment horizontal="right"/>
    </xf>
    <xf numFmtId="0" fontId="3" fillId="0" borderId="0" xfId="0" quotePrefix="1" applyFont="1" applyFill="1" applyBorder="1" applyAlignment="1">
      <alignment horizontal="center"/>
    </xf>
    <xf numFmtId="170" fontId="3" fillId="0" borderId="0" xfId="0" applyNumberFormat="1" applyFont="1" applyFill="1" applyBorder="1"/>
    <xf numFmtId="170" fontId="3" fillId="0" borderId="0" xfId="0" applyNumberFormat="1" applyFont="1" applyBorder="1"/>
    <xf numFmtId="165" fontId="3" fillId="0" borderId="0" xfId="0" applyNumberFormat="1" applyFont="1" applyBorder="1"/>
    <xf numFmtId="3" fontId="3" fillId="0" borderId="0" xfId="0" applyNumberFormat="1" applyFont="1" applyBorder="1" applyAlignment="1">
      <alignment horizontal="right"/>
    </xf>
    <xf numFmtId="165" fontId="3" fillId="0" borderId="0" xfId="0" applyNumberFormat="1" applyFont="1" applyFill="1" applyBorder="1"/>
    <xf numFmtId="0" fontId="12" fillId="2" borderId="0" xfId="0" applyFont="1" applyFill="1" applyBorder="1"/>
    <xf numFmtId="0" fontId="14" fillId="2" borderId="0" xfId="0" applyFont="1" applyFill="1" applyBorder="1"/>
    <xf numFmtId="0" fontId="2" fillId="2" borderId="0" xfId="0" applyFont="1" applyFill="1" applyBorder="1"/>
    <xf numFmtId="0" fontId="3" fillId="2" borderId="0" xfId="0" applyFont="1" applyFill="1" applyBorder="1"/>
    <xf numFmtId="0" fontId="3" fillId="2" borderId="0" xfId="0" applyFont="1" applyFill="1" applyBorder="1" applyAlignment="1">
      <alignment horizontal="left" vertical="center"/>
    </xf>
    <xf numFmtId="0" fontId="15" fillId="0" borderId="0" xfId="0" applyFont="1" applyBorder="1"/>
    <xf numFmtId="0" fontId="16" fillId="0" borderId="0" xfId="0" applyFont="1" applyBorder="1"/>
    <xf numFmtId="0" fontId="6" fillId="0" borderId="0" xfId="0" applyFont="1" applyBorder="1" applyAlignment="1">
      <alignment horizontal="right"/>
    </xf>
    <xf numFmtId="0" fontId="6" fillId="0" borderId="0" xfId="0" applyFont="1" applyBorder="1"/>
    <xf numFmtId="0" fontId="13" fillId="0" borderId="0" xfId="0" applyFont="1" applyBorder="1"/>
    <xf numFmtId="0" fontId="19" fillId="0" borderId="0" xfId="0" applyFont="1" applyBorder="1"/>
    <xf numFmtId="0" fontId="20" fillId="0" borderId="4" xfId="0" applyFont="1" applyBorder="1" applyAlignment="1">
      <alignment horizontal="left"/>
    </xf>
    <xf numFmtId="0" fontId="21" fillId="0" borderId="0" xfId="0" applyFont="1" applyBorder="1"/>
    <xf numFmtId="0" fontId="20" fillId="0" borderId="0" xfId="0" applyFont="1" applyBorder="1"/>
    <xf numFmtId="0" fontId="22" fillId="0" borderId="0" xfId="0" quotePrefix="1" applyFont="1" applyBorder="1"/>
    <xf numFmtId="0" fontId="19" fillId="0" borderId="5" xfId="0" applyFont="1" applyBorder="1"/>
    <xf numFmtId="0" fontId="21" fillId="0" borderId="4" xfId="0" applyFont="1" applyBorder="1"/>
    <xf numFmtId="165" fontId="21" fillId="0" borderId="0" xfId="0" applyNumberFormat="1" applyFont="1" applyBorder="1"/>
    <xf numFmtId="0" fontId="21" fillId="0" borderId="0" xfId="0" quotePrefix="1" applyFont="1" applyBorder="1" applyAlignment="1">
      <alignment horizontal="right"/>
    </xf>
    <xf numFmtId="3" fontId="21" fillId="0" borderId="0" xfId="0" applyNumberFormat="1" applyFont="1" applyBorder="1"/>
    <xf numFmtId="0" fontId="21" fillId="0" borderId="0" xfId="0" quotePrefix="1" applyFont="1" applyBorder="1"/>
    <xf numFmtId="0" fontId="21" fillId="0" borderId="4" xfId="0" applyFont="1" applyBorder="1" applyAlignment="1">
      <alignment horizontal="right"/>
    </xf>
    <xf numFmtId="177" fontId="21" fillId="0" borderId="0" xfId="0" applyNumberFormat="1" applyFont="1" applyBorder="1"/>
    <xf numFmtId="0" fontId="21" fillId="0" borderId="0" xfId="0" applyFont="1" applyFill="1" applyBorder="1" applyAlignment="1">
      <alignment horizontal="center" vertical="top"/>
    </xf>
    <xf numFmtId="178" fontId="21" fillId="0" borderId="0" xfId="0" applyNumberFormat="1" applyFont="1" applyBorder="1"/>
    <xf numFmtId="0" fontId="21" fillId="0" borderId="0" xfId="0" applyFont="1" applyBorder="1" applyAlignment="1"/>
    <xf numFmtId="176" fontId="21" fillId="0" borderId="0" xfId="0" applyNumberFormat="1" applyFont="1" applyBorder="1"/>
    <xf numFmtId="0" fontId="24" fillId="0" borderId="0" xfId="0" applyFont="1" applyBorder="1"/>
    <xf numFmtId="0" fontId="22" fillId="0" borderId="0" xfId="0" applyFont="1" applyBorder="1" applyAlignment="1">
      <alignment horizontal="center"/>
    </xf>
    <xf numFmtId="0" fontId="22" fillId="0" borderId="0" xfId="0" applyFont="1" applyBorder="1" applyAlignment="1">
      <alignment horizontal="right"/>
    </xf>
    <xf numFmtId="0" fontId="21" fillId="0" borderId="0" xfId="0" applyFont="1" applyBorder="1" applyAlignment="1">
      <alignment horizontal="left"/>
    </xf>
    <xf numFmtId="0" fontId="24" fillId="0" borderId="0" xfId="0" applyFont="1" applyBorder="1" applyAlignment="1">
      <alignment horizontal="right"/>
    </xf>
    <xf numFmtId="0" fontId="19" fillId="0" borderId="4" xfId="0" applyFont="1" applyBorder="1"/>
    <xf numFmtId="178" fontId="26" fillId="0" borderId="0" xfId="0" applyNumberFormat="1" applyFont="1" applyBorder="1"/>
    <xf numFmtId="172" fontId="26" fillId="0" borderId="0" xfId="0" applyNumberFormat="1" applyFont="1" applyBorder="1"/>
    <xf numFmtId="2" fontId="21" fillId="0" borderId="0" xfId="0" applyNumberFormat="1" applyFont="1" applyBorder="1"/>
    <xf numFmtId="175" fontId="26" fillId="0" borderId="0" xfId="0" applyNumberFormat="1" applyFont="1" applyBorder="1"/>
    <xf numFmtId="164" fontId="21" fillId="0" borderId="0" xfId="0" applyNumberFormat="1" applyFont="1" applyBorder="1"/>
    <xf numFmtId="0" fontId="22" fillId="4" borderId="0" xfId="0" applyFont="1" applyFill="1" applyBorder="1" applyAlignment="1">
      <alignment horizontal="right"/>
    </xf>
    <xf numFmtId="3" fontId="21" fillId="4" borderId="0" xfId="0" applyNumberFormat="1" applyFont="1" applyFill="1" applyBorder="1"/>
    <xf numFmtId="164" fontId="21" fillId="4" borderId="0" xfId="0" applyNumberFormat="1" applyFont="1" applyFill="1" applyBorder="1"/>
    <xf numFmtId="164" fontId="21" fillId="0" borderId="0" xfId="0" applyNumberFormat="1" applyFont="1" applyFill="1" applyBorder="1"/>
    <xf numFmtId="164" fontId="27" fillId="0" borderId="0" xfId="0" applyNumberFormat="1" applyFont="1" applyBorder="1"/>
    <xf numFmtId="175" fontId="27" fillId="0" borderId="0" xfId="0" applyNumberFormat="1" applyFont="1" applyBorder="1"/>
    <xf numFmtId="166" fontId="27" fillId="0" borderId="0" xfId="0" applyNumberFormat="1" applyFont="1" applyBorder="1"/>
    <xf numFmtId="0" fontId="28" fillId="0" borderId="0" xfId="0" applyFont="1" applyBorder="1"/>
    <xf numFmtId="0" fontId="28" fillId="0" borderId="4" xfId="0" applyFont="1" applyBorder="1"/>
    <xf numFmtId="0" fontId="28" fillId="0" borderId="5" xfId="0" applyFont="1" applyBorder="1"/>
    <xf numFmtId="0" fontId="29" fillId="0" borderId="0" xfId="0" applyFont="1" applyBorder="1"/>
    <xf numFmtId="0" fontId="3" fillId="0" borderId="0" xfId="0" applyFont="1" applyAlignment="1">
      <alignment horizontal="left" vertical="center"/>
    </xf>
    <xf numFmtId="0" fontId="3" fillId="0" borderId="0" xfId="0" applyFont="1"/>
    <xf numFmtId="0" fontId="33" fillId="0" borderId="0" xfId="0" applyFont="1"/>
    <xf numFmtId="0" fontId="3" fillId="0" borderId="0" xfId="0" applyFont="1" applyFill="1" applyBorder="1" applyAlignment="1" applyProtection="1">
      <protection locked="0"/>
    </xf>
    <xf numFmtId="0" fontId="3" fillId="0" borderId="0" xfId="0" applyFont="1" applyFill="1" applyBorder="1" applyAlignment="1" applyProtection="1">
      <alignment vertical="center"/>
      <protection locked="0"/>
    </xf>
    <xf numFmtId="0" fontId="3" fillId="0" borderId="0" xfId="0" applyFont="1" applyBorder="1" applyAlignment="1">
      <alignment vertical="center"/>
    </xf>
    <xf numFmtId="0" fontId="2" fillId="0" borderId="0" xfId="0" applyFont="1" applyBorder="1" applyAlignment="1">
      <alignment horizontal="center"/>
    </xf>
    <xf numFmtId="0" fontId="3" fillId="0" borderId="0" xfId="0" applyFont="1" applyBorder="1" applyAlignment="1">
      <alignment horizontal="left" vertical="center"/>
    </xf>
    <xf numFmtId="0" fontId="3" fillId="0" borderId="0" xfId="0" applyFont="1" applyBorder="1" applyAlignment="1">
      <alignment horizontal="center"/>
    </xf>
    <xf numFmtId="0" fontId="0" fillId="0" borderId="0" xfId="0" applyAlignment="1">
      <alignment vertical="center"/>
    </xf>
    <xf numFmtId="0" fontId="0" fillId="2" borderId="5" xfId="0" applyFill="1" applyBorder="1" applyAlignment="1">
      <alignment vertical="center"/>
    </xf>
    <xf numFmtId="0" fontId="0" fillId="0" borderId="0" xfId="0" applyFont="1" applyAlignment="1">
      <alignment vertical="center"/>
    </xf>
    <xf numFmtId="0" fontId="0" fillId="0" borderId="4" xfId="0" applyFont="1" applyBorder="1" applyAlignment="1">
      <alignment vertical="center"/>
    </xf>
    <xf numFmtId="0" fontId="0" fillId="0" borderId="0" xfId="0" applyFont="1" applyBorder="1" applyAlignment="1">
      <alignment vertical="center"/>
    </xf>
    <xf numFmtId="0" fontId="0" fillId="0" borderId="5" xfId="0" applyFont="1" applyBorder="1" applyAlignment="1">
      <alignment vertical="center"/>
    </xf>
    <xf numFmtId="0" fontId="0" fillId="0" borderId="4" xfId="0" applyBorder="1" applyAlignment="1">
      <alignment vertical="center"/>
    </xf>
    <xf numFmtId="0" fontId="33" fillId="0" borderId="0" xfId="0" applyFont="1"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2" fillId="0" borderId="0" xfId="0" applyFont="1" applyBorder="1" applyAlignment="1">
      <alignment vertical="center"/>
    </xf>
    <xf numFmtId="0" fontId="3" fillId="0" borderId="0" xfId="0" applyFont="1" applyBorder="1" applyAlignment="1">
      <alignment horizontal="right" vertical="center"/>
    </xf>
    <xf numFmtId="0" fontId="3" fillId="0" borderId="0" xfId="0" quotePrefix="1" applyFont="1" applyBorder="1" applyAlignment="1">
      <alignment vertical="center"/>
    </xf>
    <xf numFmtId="0" fontId="13"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2" fillId="0" borderId="0" xfId="0" applyFont="1" applyBorder="1" applyAlignment="1">
      <alignment horizontal="right" vertical="center"/>
    </xf>
    <xf numFmtId="0" fontId="33" fillId="0" borderId="0" xfId="0" applyFont="1" applyBorder="1" applyAlignment="1">
      <alignment horizontal="left" vertical="center"/>
    </xf>
    <xf numFmtId="0" fontId="28" fillId="0" borderId="0" xfId="0" applyFont="1" applyBorder="1" applyAlignment="1">
      <alignment vertical="center"/>
    </xf>
    <xf numFmtId="0" fontId="4" fillId="0" borderId="0" xfId="0" applyFont="1"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0" xfId="0" applyAlignment="1">
      <alignment horizontal="center"/>
    </xf>
    <xf numFmtId="0" fontId="0" fillId="0" borderId="0" xfId="0" applyBorder="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center"/>
    </xf>
    <xf numFmtId="0" fontId="3" fillId="0" borderId="0" xfId="0" applyNumberFormat="1" applyFont="1" applyBorder="1" applyAlignment="1">
      <alignment horizontal="center" vertical="center"/>
    </xf>
    <xf numFmtId="0" fontId="31" fillId="0" borderId="0" xfId="0" applyFont="1" applyBorder="1" applyAlignment="1">
      <alignment horizontal="center" vertical="center"/>
    </xf>
    <xf numFmtId="0" fontId="3" fillId="0" borderId="0" xfId="0" applyFont="1" applyFill="1" applyBorder="1" applyAlignment="1">
      <alignment horizontal="center" vertical="center"/>
    </xf>
    <xf numFmtId="0" fontId="3" fillId="0" borderId="0" xfId="0" quotePrefix="1" applyFont="1" applyBorder="1" applyAlignment="1">
      <alignment horizontal="center" vertical="center"/>
    </xf>
    <xf numFmtId="172" fontId="3" fillId="0" borderId="0" xfId="0" applyNumberFormat="1" applyFont="1" applyBorder="1" applyAlignment="1">
      <alignment horizontal="center" vertical="center"/>
    </xf>
    <xf numFmtId="0" fontId="3" fillId="0" borderId="0" xfId="0" quotePrefix="1" applyFont="1" applyFill="1" applyBorder="1" applyAlignment="1">
      <alignment horizontal="center" vertical="center"/>
    </xf>
    <xf numFmtId="173" fontId="3" fillId="0" borderId="0" xfId="0" applyNumberFormat="1" applyFont="1" applyBorder="1" applyAlignment="1">
      <alignment horizontal="center" vertical="center"/>
    </xf>
    <xf numFmtId="0" fontId="2" fillId="0" borderId="0" xfId="0" quotePrefix="1" applyFont="1"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179" fontId="3" fillId="0" borderId="0" xfId="0" applyNumberFormat="1" applyFont="1" applyBorder="1" applyAlignment="1">
      <alignment horizontal="center" vertical="center"/>
    </xf>
    <xf numFmtId="3" fontId="3" fillId="0" borderId="0" xfId="0" applyNumberFormat="1" applyFont="1" applyBorder="1" applyAlignment="1">
      <alignment horizontal="center" vertical="center"/>
    </xf>
    <xf numFmtId="0" fontId="0" fillId="0" borderId="7" xfId="0" applyBorder="1" applyAlignment="1">
      <alignment horizontal="center" vertical="center"/>
    </xf>
    <xf numFmtId="0" fontId="3" fillId="0" borderId="7" xfId="0" applyFont="1" applyBorder="1" applyAlignment="1">
      <alignment horizontal="center" vertical="center"/>
    </xf>
    <xf numFmtId="0" fontId="2" fillId="0" borderId="7"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Fill="1" applyBorder="1" applyAlignment="1">
      <alignment horizontal="center" vertical="center"/>
    </xf>
    <xf numFmtId="180" fontId="3" fillId="0" borderId="0" xfId="0" applyNumberFormat="1" applyFont="1" applyBorder="1" applyAlignment="1">
      <alignment horizontal="center" vertical="center"/>
    </xf>
    <xf numFmtId="173" fontId="3" fillId="0" borderId="7" xfId="0" applyNumberFormat="1" applyFont="1" applyBorder="1" applyAlignment="1">
      <alignment horizontal="center" vertical="center"/>
    </xf>
    <xf numFmtId="0" fontId="37" fillId="0" borderId="0" xfId="0" applyFont="1" applyBorder="1" applyAlignment="1">
      <alignment horizontal="left" vertical="center"/>
    </xf>
    <xf numFmtId="0" fontId="3" fillId="0" borderId="6" xfId="0" applyFont="1" applyBorder="1" applyAlignment="1">
      <alignment horizontal="left" vertical="center"/>
    </xf>
    <xf numFmtId="0" fontId="3" fillId="0" borderId="4" xfId="0" applyFont="1" applyFill="1" applyBorder="1" applyAlignment="1">
      <alignment horizontal="left" vertical="center"/>
    </xf>
    <xf numFmtId="0" fontId="3" fillId="0" borderId="4" xfId="0" applyFont="1" applyBorder="1" applyAlignment="1">
      <alignment horizontal="left" vertical="center"/>
    </xf>
    <xf numFmtId="0" fontId="3" fillId="0" borderId="7" xfId="0" applyFont="1" applyBorder="1" applyAlignment="1">
      <alignment horizontal="left" vertical="center"/>
    </xf>
    <xf numFmtId="0" fontId="33" fillId="0" borderId="7" xfId="0" applyFont="1" applyBorder="1" applyAlignment="1">
      <alignment horizontal="left" vertical="center"/>
    </xf>
    <xf numFmtId="0" fontId="3" fillId="0" borderId="0" xfId="0" quotePrefix="1" applyFont="1" applyBorder="1" applyAlignment="1">
      <alignment horizontal="left" vertical="center"/>
    </xf>
    <xf numFmtId="0" fontId="6" fillId="0" borderId="0" xfId="0" applyFont="1" applyBorder="1" applyAlignment="1">
      <alignment horizontal="left" vertical="center"/>
    </xf>
    <xf numFmtId="0" fontId="33" fillId="0" borderId="0" xfId="0" applyFont="1" applyFill="1" applyBorder="1" applyAlignment="1">
      <alignment horizontal="left" vertical="center"/>
    </xf>
    <xf numFmtId="0" fontId="34" fillId="0" borderId="0" xfId="0" applyFont="1" applyBorder="1" applyAlignment="1">
      <alignment horizontal="left" vertical="center"/>
    </xf>
    <xf numFmtId="0" fontId="33" fillId="0" borderId="0" xfId="0" applyFont="1" applyBorder="1" applyAlignment="1">
      <alignment horizontal="center" vertical="center"/>
    </xf>
    <xf numFmtId="0" fontId="33" fillId="0" borderId="0" xfId="0" quotePrefix="1" applyFont="1" applyBorder="1" applyAlignment="1">
      <alignment horizontal="left" vertical="center"/>
    </xf>
    <xf numFmtId="0" fontId="33" fillId="0" borderId="0" xfId="0" quotePrefix="1" applyFont="1" applyFill="1" applyBorder="1" applyAlignment="1">
      <alignment horizontal="left" vertical="center"/>
    </xf>
    <xf numFmtId="0" fontId="17" fillId="0" borderId="0" xfId="0" applyFont="1" applyBorder="1" applyAlignment="1">
      <alignment vertical="center"/>
    </xf>
    <xf numFmtId="0" fontId="6" fillId="0" borderId="0" xfId="0" applyFont="1" applyBorder="1" applyAlignment="1">
      <alignment horizontal="right" vertical="center"/>
    </xf>
    <xf numFmtId="0" fontId="30" fillId="0" borderId="0" xfId="0" applyFont="1" applyBorder="1" applyAlignment="1">
      <alignment horizontal="right"/>
    </xf>
    <xf numFmtId="0" fontId="5" fillId="0" borderId="0" xfId="0" quotePrefix="1" applyFont="1" applyBorder="1" applyAlignment="1">
      <alignment horizontal="center" vertical="center" textRotation="90"/>
    </xf>
    <xf numFmtId="168" fontId="30" fillId="0" borderId="5" xfId="0" applyNumberFormat="1" applyFont="1" applyBorder="1"/>
    <xf numFmtId="0" fontId="2" fillId="0" borderId="4" xfId="0" applyFont="1" applyBorder="1" applyAlignment="1">
      <alignment vertical="center"/>
    </xf>
    <xf numFmtId="164" fontId="3" fillId="0" borderId="0" xfId="0" applyNumberFormat="1" applyFont="1" applyBorder="1" applyAlignment="1">
      <alignment horizontal="center" vertical="center"/>
    </xf>
    <xf numFmtId="169" fontId="3" fillId="0" borderId="0" xfId="0" applyNumberFormat="1" applyFont="1" applyBorder="1" applyAlignment="1">
      <alignment horizontal="center" vertical="center"/>
    </xf>
    <xf numFmtId="170" fontId="3" fillId="0" borderId="0" xfId="0" applyNumberFormat="1" applyFont="1" applyBorder="1" applyAlignment="1">
      <alignment horizontal="center" vertical="center"/>
    </xf>
    <xf numFmtId="171" fontId="3" fillId="0" borderId="0" xfId="0" applyNumberFormat="1" applyFont="1" applyBorder="1" applyAlignment="1">
      <alignment horizontal="center" vertical="center"/>
    </xf>
    <xf numFmtId="0" fontId="3" fillId="0" borderId="0" xfId="0" applyFont="1" applyFill="1" applyBorder="1" applyAlignment="1">
      <alignment vertical="center"/>
    </xf>
    <xf numFmtId="170" fontId="3" fillId="0" borderId="0" xfId="0" applyNumberFormat="1" applyFont="1" applyFill="1" applyBorder="1" applyAlignment="1">
      <alignment horizontal="center" vertical="center"/>
    </xf>
    <xf numFmtId="174" fontId="3" fillId="0" borderId="0" xfId="0" applyNumberFormat="1" applyFont="1" applyBorder="1" applyAlignment="1">
      <alignment horizontal="center" vertical="center"/>
    </xf>
    <xf numFmtId="0" fontId="35" fillId="2" borderId="0" xfId="0" applyFont="1" applyFill="1" applyBorder="1" applyAlignment="1">
      <alignment vertical="center"/>
    </xf>
    <xf numFmtId="0" fontId="4" fillId="2" borderId="0" xfId="0" applyFont="1" applyFill="1" applyBorder="1" applyAlignment="1">
      <alignment horizontal="center" vertical="center"/>
    </xf>
    <xf numFmtId="0" fontId="4" fillId="0" borderId="0" xfId="0" applyFont="1" applyBorder="1" applyAlignment="1">
      <alignment horizontal="right" vertical="center"/>
    </xf>
    <xf numFmtId="0" fontId="4" fillId="0" borderId="0" xfId="0" applyFont="1" applyBorder="1" applyAlignment="1">
      <alignment vertical="center"/>
    </xf>
    <xf numFmtId="0" fontId="4" fillId="0" borderId="0" xfId="0" applyFont="1" applyBorder="1" applyAlignment="1">
      <alignment horizontal="center" vertical="center"/>
    </xf>
    <xf numFmtId="0" fontId="2" fillId="0" borderId="5" xfId="0" applyFont="1" applyFill="1" applyBorder="1" applyAlignment="1">
      <alignment vertical="center"/>
    </xf>
    <xf numFmtId="3" fontId="3" fillId="0" borderId="0" xfId="0" applyNumberFormat="1" applyFont="1" applyBorder="1" applyAlignment="1">
      <alignment vertical="center"/>
    </xf>
    <xf numFmtId="0" fontId="3" fillId="2" borderId="0" xfId="0" applyFont="1" applyFill="1" applyBorder="1" applyAlignment="1">
      <alignment horizontal="center" vertical="center"/>
    </xf>
    <xf numFmtId="0" fontId="10" fillId="0" borderId="0" xfId="0" applyFont="1" applyBorder="1" applyAlignment="1">
      <alignment vertical="center"/>
    </xf>
    <xf numFmtId="0" fontId="7" fillId="0" borderId="0" xfId="0" applyFont="1" applyFill="1" applyBorder="1" applyAlignment="1">
      <alignment horizontal="center" vertical="center"/>
    </xf>
    <xf numFmtId="175" fontId="3" fillId="0" borderId="0" xfId="0" applyNumberFormat="1" applyFont="1" applyFill="1" applyBorder="1" applyAlignment="1">
      <alignment vertical="center"/>
    </xf>
    <xf numFmtId="170" fontId="3" fillId="0" borderId="0" xfId="0" applyNumberFormat="1" applyFont="1" applyFill="1" applyBorder="1" applyAlignment="1">
      <alignment vertical="center"/>
    </xf>
    <xf numFmtId="170" fontId="3" fillId="0" borderId="0" xfId="0" applyNumberFormat="1" applyFont="1" applyBorder="1" applyAlignment="1">
      <alignment vertical="center"/>
    </xf>
    <xf numFmtId="165" fontId="3" fillId="0" borderId="0" xfId="0" applyNumberFormat="1" applyFont="1" applyBorder="1" applyAlignment="1">
      <alignment vertical="center"/>
    </xf>
    <xf numFmtId="3" fontId="3" fillId="0" borderId="0" xfId="0" applyNumberFormat="1" applyFont="1" applyBorder="1" applyAlignment="1">
      <alignment horizontal="right" vertical="center"/>
    </xf>
    <xf numFmtId="0" fontId="3" fillId="4" borderId="0" xfId="0" applyFont="1" applyFill="1" applyBorder="1" applyAlignment="1">
      <alignment vertical="center"/>
    </xf>
    <xf numFmtId="0" fontId="3" fillId="4" borderId="0" xfId="0" applyFont="1" applyFill="1" applyBorder="1" applyAlignment="1">
      <alignment horizontal="center" vertical="center"/>
    </xf>
    <xf numFmtId="165" fontId="3" fillId="0" borderId="0" xfId="0" applyNumberFormat="1" applyFont="1" applyFill="1" applyBorder="1" applyAlignment="1">
      <alignment vertical="center"/>
    </xf>
    <xf numFmtId="0" fontId="3" fillId="4" borderId="0" xfId="0" quotePrefix="1" applyFont="1" applyFill="1" applyBorder="1" applyAlignment="1">
      <alignment vertical="center"/>
    </xf>
    <xf numFmtId="0" fontId="3" fillId="0" borderId="0" xfId="0" applyFont="1" applyFill="1" applyBorder="1" applyAlignment="1">
      <alignment horizontal="right" vertical="center"/>
    </xf>
    <xf numFmtId="3" fontId="3" fillId="0" borderId="0" xfId="0" applyNumberFormat="1" applyFont="1" applyFill="1" applyBorder="1" applyAlignment="1">
      <alignment vertical="center"/>
    </xf>
    <xf numFmtId="176" fontId="3" fillId="0" borderId="0" xfId="0" applyNumberFormat="1" applyFont="1" applyBorder="1" applyAlignment="1">
      <alignment vertical="center"/>
    </xf>
    <xf numFmtId="0" fontId="3" fillId="0" borderId="0" xfId="0" applyFont="1" applyFill="1" applyBorder="1" applyAlignment="1" applyProtection="1">
      <alignment horizontal="right" vertical="center"/>
      <protection locked="0"/>
    </xf>
    <xf numFmtId="0" fontId="2" fillId="0" borderId="0" xfId="0" applyFont="1" applyFill="1" applyBorder="1" applyAlignment="1" applyProtection="1">
      <alignment horizontal="right" vertical="center"/>
      <protection locked="0"/>
    </xf>
    <xf numFmtId="0" fontId="5" fillId="0" borderId="0" xfId="0" applyFont="1" applyFill="1" applyBorder="1" applyAlignment="1" applyProtection="1">
      <alignment horizontal="left" vertical="center"/>
      <protection locked="0"/>
    </xf>
    <xf numFmtId="0" fontId="3" fillId="0" borderId="0" xfId="0" quotePrefix="1" applyFont="1" applyBorder="1" applyAlignment="1">
      <alignment horizontal="right" vertical="center"/>
    </xf>
    <xf numFmtId="181" fontId="3" fillId="0" borderId="0" xfId="0" applyNumberFormat="1" applyFont="1" applyBorder="1" applyAlignment="1">
      <alignment vertical="center"/>
    </xf>
    <xf numFmtId="182" fontId="3" fillId="0" borderId="0" xfId="0" applyNumberFormat="1" applyFont="1" applyBorder="1" applyAlignment="1">
      <alignment vertical="center"/>
    </xf>
    <xf numFmtId="0" fontId="19" fillId="0" borderId="0" xfId="0" applyFont="1" applyBorder="1" applyAlignment="1">
      <alignment vertical="center"/>
    </xf>
    <xf numFmtId="170" fontId="21" fillId="0" borderId="0" xfId="0" applyNumberFormat="1" applyFont="1" applyBorder="1" applyAlignment="1">
      <alignment horizontal="center" vertical="center"/>
    </xf>
    <xf numFmtId="0" fontId="13" fillId="2" borderId="0" xfId="0" applyFont="1" applyFill="1" applyBorder="1"/>
    <xf numFmtId="170" fontId="3" fillId="2" borderId="0" xfId="0" applyNumberFormat="1" applyFont="1" applyFill="1" applyBorder="1" applyAlignment="1">
      <alignment horizontal="center"/>
    </xf>
    <xf numFmtId="0" fontId="3" fillId="2" borderId="0" xfId="0" applyFont="1" applyFill="1" applyBorder="1" applyAlignment="1">
      <alignment horizontal="left"/>
    </xf>
    <xf numFmtId="0" fontId="5" fillId="0" borderId="4" xfId="0" applyFont="1" applyFill="1" applyBorder="1"/>
    <xf numFmtId="0" fontId="3" fillId="0" borderId="4" xfId="0" applyFont="1" applyFill="1" applyBorder="1" applyAlignment="1">
      <alignment vertical="center"/>
    </xf>
    <xf numFmtId="0" fontId="35" fillId="0" borderId="4" xfId="0" applyFont="1" applyFill="1" applyBorder="1"/>
    <xf numFmtId="0" fontId="0" fillId="0" borderId="7" xfId="0" applyFill="1" applyBorder="1"/>
    <xf numFmtId="0" fontId="0" fillId="0" borderId="8" xfId="0" applyFill="1" applyBorder="1"/>
    <xf numFmtId="0" fontId="33" fillId="0" borderId="0" xfId="0" applyFont="1" applyBorder="1" applyAlignment="1">
      <alignment vertical="center" wrapText="1"/>
    </xf>
    <xf numFmtId="0" fontId="33" fillId="0" borderId="0" xfId="0" applyFont="1" applyBorder="1" applyAlignment="1">
      <alignment vertical="center"/>
    </xf>
    <xf numFmtId="0" fontId="33" fillId="0" borderId="0" xfId="0" applyFont="1" applyBorder="1" applyAlignment="1">
      <alignment horizontal="left" vertical="center"/>
    </xf>
    <xf numFmtId="0" fontId="33"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21" fillId="0" borderId="9" xfId="0" applyFont="1" applyBorder="1" applyAlignment="1">
      <alignment vertical="center"/>
    </xf>
    <xf numFmtId="0" fontId="38" fillId="0" borderId="9" xfId="0" applyFont="1" applyBorder="1" applyAlignment="1">
      <alignment vertical="center"/>
    </xf>
    <xf numFmtId="0" fontId="33" fillId="0" borderId="0" xfId="0" applyFont="1" applyBorder="1" applyAlignment="1">
      <alignment horizontal="left" vertical="center"/>
    </xf>
    <xf numFmtId="0" fontId="5" fillId="2" borderId="0" xfId="0" applyFont="1" applyFill="1" applyBorder="1" applyAlignment="1">
      <alignment vertical="center"/>
    </xf>
    <xf numFmtId="183" fontId="3" fillId="2" borderId="0" xfId="0" applyNumberFormat="1" applyFont="1" applyFill="1" applyBorder="1" applyAlignment="1">
      <alignment horizontal="center"/>
    </xf>
    <xf numFmtId="175" fontId="3" fillId="0" borderId="5" xfId="0" applyNumberFormat="1" applyFont="1" applyBorder="1"/>
    <xf numFmtId="179" fontId="3" fillId="0" borderId="5" xfId="0" applyNumberFormat="1" applyFont="1" applyBorder="1"/>
    <xf numFmtId="165" fontId="5" fillId="0" borderId="7" xfId="0" applyNumberFormat="1" applyFont="1" applyBorder="1" applyAlignment="1">
      <alignment horizontal="center"/>
    </xf>
    <xf numFmtId="0" fontId="33" fillId="0" borderId="6" xfId="0" applyFont="1" applyBorder="1"/>
    <xf numFmtId="0" fontId="33" fillId="0" borderId="4" xfId="0" applyFont="1" applyBorder="1"/>
    <xf numFmtId="0" fontId="5" fillId="0" borderId="8" xfId="0" applyFont="1" applyBorder="1" applyAlignment="1">
      <alignment horizontal="center" vertical="center"/>
    </xf>
    <xf numFmtId="0" fontId="13" fillId="0" borderId="5" xfId="0" applyFont="1" applyBorder="1" applyAlignment="1">
      <alignment vertical="center"/>
    </xf>
    <xf numFmtId="0" fontId="13" fillId="0" borderId="0" xfId="0" applyFont="1" applyAlignment="1">
      <alignment vertical="center"/>
    </xf>
    <xf numFmtId="0" fontId="33" fillId="0" borderId="0" xfId="0" applyFont="1" applyBorder="1" applyAlignment="1">
      <alignment horizontal="left" vertical="center"/>
    </xf>
    <xf numFmtId="0" fontId="33" fillId="0" borderId="6" xfId="0" applyFont="1" applyBorder="1" applyAlignment="1">
      <alignment horizontal="left" vertical="center"/>
    </xf>
    <xf numFmtId="0" fontId="2" fillId="0" borderId="0" xfId="0" applyFont="1" applyBorder="1" applyAlignment="1">
      <alignment horizontal="center" vertical="center"/>
    </xf>
    <xf numFmtId="0" fontId="42" fillId="0" borderId="0" xfId="0" applyFont="1"/>
    <xf numFmtId="0" fontId="0" fillId="0" borderId="1" xfId="0" applyBorder="1"/>
    <xf numFmtId="0" fontId="9" fillId="0" borderId="5" xfId="0" applyFont="1" applyFill="1" applyBorder="1" applyAlignment="1">
      <alignment vertical="top"/>
    </xf>
    <xf numFmtId="0" fontId="0" fillId="0" borderId="2" xfId="0" applyBorder="1"/>
    <xf numFmtId="0" fontId="0" fillId="0" borderId="3" xfId="0" applyBorder="1"/>
    <xf numFmtId="0" fontId="1" fillId="0" borderId="0" xfId="0" applyFont="1" applyFill="1" applyBorder="1" applyAlignment="1">
      <alignment vertical="center"/>
    </xf>
    <xf numFmtId="0" fontId="43" fillId="0" borderId="0" xfId="0" applyFont="1" applyFill="1" applyBorder="1" applyAlignment="1">
      <alignment vertical="center"/>
    </xf>
    <xf numFmtId="0" fontId="2" fillId="0" borderId="1" xfId="0" applyFont="1" applyBorder="1"/>
    <xf numFmtId="0" fontId="2" fillId="0" borderId="2" xfId="0" applyFont="1" applyBorder="1"/>
    <xf numFmtId="0" fontId="3" fillId="0" borderId="2" xfId="0" applyFont="1" applyBorder="1"/>
    <xf numFmtId="0" fontId="4" fillId="0" borderId="2" xfId="0" applyFont="1" applyBorder="1" applyAlignment="1">
      <alignment horizontal="center"/>
    </xf>
    <xf numFmtId="0" fontId="4" fillId="0" borderId="2" xfId="0" applyFont="1" applyBorder="1"/>
    <xf numFmtId="0" fontId="9" fillId="0" borderId="7" xfId="0" applyFont="1" applyFill="1" applyBorder="1" applyAlignment="1"/>
    <xf numFmtId="0" fontId="43" fillId="0" borderId="7" xfId="0" applyFont="1" applyFill="1" applyBorder="1" applyAlignment="1">
      <alignment vertical="center"/>
    </xf>
    <xf numFmtId="0" fontId="17" fillId="5" borderId="0" xfId="0" applyFont="1" applyFill="1" applyBorder="1" applyAlignment="1">
      <alignment vertical="center"/>
    </xf>
    <xf numFmtId="0" fontId="2" fillId="5" borderId="0" xfId="0" applyFont="1" applyFill="1" applyBorder="1" applyAlignment="1">
      <alignment vertical="center"/>
    </xf>
    <xf numFmtId="0" fontId="3" fillId="5" borderId="0" xfId="0" applyFont="1" applyFill="1" applyBorder="1" applyAlignment="1">
      <alignment vertical="center"/>
    </xf>
    <xf numFmtId="0" fontId="0" fillId="0" borderId="0" xfId="0" applyFill="1" applyBorder="1"/>
    <xf numFmtId="0" fontId="43" fillId="0" borderId="2" xfId="0" applyFont="1" applyFill="1" applyBorder="1" applyAlignment="1">
      <alignment vertical="center"/>
    </xf>
    <xf numFmtId="0" fontId="43" fillId="0" borderId="1" xfId="0" applyFont="1" applyFill="1" applyBorder="1" applyAlignment="1">
      <alignment vertical="center"/>
    </xf>
    <xf numFmtId="0" fontId="43" fillId="0" borderId="3" xfId="0" applyFont="1" applyFill="1" applyBorder="1" applyAlignment="1">
      <alignment vertical="center"/>
    </xf>
    <xf numFmtId="0" fontId="35" fillId="0" borderId="0" xfId="0" applyFont="1" applyFill="1" applyBorder="1" applyAlignment="1">
      <alignment horizontal="center" vertical="center"/>
    </xf>
    <xf numFmtId="0" fontId="29" fillId="0" borderId="0" xfId="0" applyFont="1" applyFill="1" applyBorder="1" applyAlignment="1">
      <alignment vertical="center"/>
    </xf>
    <xf numFmtId="0" fontId="0" fillId="0" borderId="4" xfId="0" applyFill="1" applyBorder="1" applyAlignment="1">
      <alignment vertical="center"/>
    </xf>
    <xf numFmtId="0" fontId="0" fillId="0" borderId="2" xfId="0" applyFont="1" applyFill="1" applyBorder="1" applyAlignment="1" applyProtection="1">
      <protection locked="0"/>
    </xf>
    <xf numFmtId="0" fontId="44" fillId="0" borderId="0" xfId="0" applyFont="1" applyFill="1" applyBorder="1" applyAlignment="1">
      <alignment horizontal="center" vertical="center"/>
    </xf>
    <xf numFmtId="0" fontId="5" fillId="3" borderId="1" xfId="0" applyFont="1" applyFill="1" applyBorder="1" applyAlignment="1">
      <alignment vertical="center"/>
    </xf>
    <xf numFmtId="0" fontId="5" fillId="3" borderId="2" xfId="0" applyFont="1" applyFill="1" applyBorder="1" applyAlignment="1">
      <alignment vertical="center"/>
    </xf>
    <xf numFmtId="0" fontId="5" fillId="3" borderId="3" xfId="0" applyFont="1" applyFill="1" applyBorder="1" applyAlignment="1">
      <alignment vertical="center"/>
    </xf>
    <xf numFmtId="0" fontId="5" fillId="0" borderId="0" xfId="0" applyFont="1" applyBorder="1" applyAlignment="1">
      <alignment horizontal="center" vertical="center"/>
    </xf>
    <xf numFmtId="0" fontId="1" fillId="0" borderId="7" xfId="0" applyFont="1" applyFill="1" applyBorder="1" applyAlignment="1">
      <alignment vertical="center"/>
    </xf>
    <xf numFmtId="0" fontId="4" fillId="0" borderId="5" xfId="0" quotePrefix="1"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9" fillId="5" borderId="0" xfId="0" applyFont="1" applyFill="1" applyBorder="1" applyAlignment="1">
      <alignment horizontal="center" vertical="center"/>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0" borderId="0" xfId="0" applyFont="1" applyFill="1" applyBorder="1" applyAlignment="1">
      <alignment horizontal="left" vertical="center"/>
    </xf>
    <xf numFmtId="0" fontId="44" fillId="5" borderId="0" xfId="0" applyFont="1" applyFill="1" applyBorder="1" applyAlignment="1">
      <alignment horizontal="center" vertical="center"/>
    </xf>
    <xf numFmtId="0" fontId="44" fillId="5" borderId="0" xfId="0" quotePrefix="1" applyNumberFormat="1" applyFont="1" applyFill="1" applyBorder="1" applyAlignment="1">
      <alignment horizontal="center" vertical="center"/>
    </xf>
    <xf numFmtId="0" fontId="35" fillId="5" borderId="0"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3" xfId="0" applyFont="1" applyFill="1" applyBorder="1" applyAlignment="1">
      <alignment horizontal="center" vertical="center"/>
    </xf>
    <xf numFmtId="0" fontId="34" fillId="0" borderId="0" xfId="0" applyFont="1" applyBorder="1" applyAlignment="1">
      <alignment horizontal="left" vertical="center" wrapText="1"/>
    </xf>
    <xf numFmtId="0" fontId="33" fillId="0" borderId="0" xfId="0" applyFont="1" applyBorder="1" applyAlignment="1">
      <alignment vertical="center" wrapText="1"/>
    </xf>
    <xf numFmtId="0" fontId="33" fillId="0" borderId="0" xfId="0" applyFont="1" applyBorder="1" applyAlignment="1">
      <alignment vertical="center"/>
    </xf>
    <xf numFmtId="0" fontId="6" fillId="0" borderId="0" xfId="0" applyFont="1" applyBorder="1" applyAlignment="1">
      <alignment horizontal="center" vertical="center"/>
    </xf>
    <xf numFmtId="0" fontId="33" fillId="0" borderId="0" xfId="0" applyFont="1" applyBorder="1" applyAlignment="1">
      <alignment horizontal="left" vertical="center"/>
    </xf>
    <xf numFmtId="0" fontId="33" fillId="0" borderId="0" xfId="0" applyFont="1" applyBorder="1" applyAlignment="1">
      <alignment horizontal="left" vertical="center" wrapText="1"/>
    </xf>
    <xf numFmtId="0" fontId="3" fillId="0" borderId="0" xfId="0" applyFont="1" applyFill="1" applyBorder="1" applyAlignment="1">
      <alignment horizontal="left" vertical="center" wrapText="1"/>
    </xf>
    <xf numFmtId="0" fontId="44" fillId="5" borderId="0" xfId="0" applyFont="1" applyFill="1" applyBorder="1" applyAlignment="1" applyProtection="1">
      <alignment horizontal="center" vertical="center"/>
      <protection locked="0"/>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5" fillId="0" borderId="0" xfId="0" applyFont="1" applyBorder="1" applyAlignment="1">
      <alignment horizontal="center" vertical="center"/>
    </xf>
    <xf numFmtId="0" fontId="33" fillId="0" borderId="0" xfId="0" applyFont="1" applyBorder="1" applyAlignment="1">
      <alignment horizontal="center"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left" vertical="center" wrapText="1"/>
    </xf>
    <xf numFmtId="0" fontId="21" fillId="0" borderId="7" xfId="0" applyFont="1" applyBorder="1"/>
    <xf numFmtId="170" fontId="21" fillId="0" borderId="0" xfId="0" applyNumberFormat="1" applyFont="1" applyBorder="1" applyAlignment="1">
      <alignment horizontal="right"/>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000">
                <a:latin typeface="Arial"/>
              </a:defRPr>
            </a:pPr>
            <a:r>
              <a:rPr lang="en-US" sz="1000">
                <a:latin typeface="Arial"/>
              </a:rPr>
              <a:t>Change of gravity over distance Moon-Earth</a:t>
            </a:r>
          </a:p>
        </c:rich>
      </c:tx>
      <c:layout/>
      <c:overlay val="0"/>
    </c:title>
    <c:autoTitleDeleted val="0"/>
    <c:plotArea>
      <c:layout/>
      <c:scatterChart>
        <c:scatterStyle val="smoothMarker"/>
        <c:varyColors val="0"/>
        <c:ser>
          <c:idx val="0"/>
          <c:order val="0"/>
          <c:tx>
            <c:v>Earth gravity</c:v>
          </c:tx>
          <c:marker>
            <c:symbol val="none"/>
          </c:marker>
          <c:xVal>
            <c:numLit>
              <c:formatCode>General</c:formatCode>
              <c:ptCount val="14"/>
              <c:pt idx="0">
                <c:v>376300.0</c:v>
              </c:pt>
              <c:pt idx="1">
                <c:v>376200.0</c:v>
              </c:pt>
              <c:pt idx="2">
                <c:v>375300.0</c:v>
              </c:pt>
              <c:pt idx="3">
                <c:v>366300.0</c:v>
              </c:pt>
              <c:pt idx="4">
                <c:v>276300.0</c:v>
              </c:pt>
              <c:pt idx="5">
                <c:v>176300.0</c:v>
              </c:pt>
              <c:pt idx="6">
                <c:v>76300.0</c:v>
              </c:pt>
              <c:pt idx="7">
                <c:v>36200.0</c:v>
              </c:pt>
              <c:pt idx="8">
                <c:v>26300.0</c:v>
              </c:pt>
              <c:pt idx="9">
                <c:v>16300.0</c:v>
              </c:pt>
              <c:pt idx="10">
                <c:v>6300.0</c:v>
              </c:pt>
              <c:pt idx="11">
                <c:v>1300.0</c:v>
              </c:pt>
              <c:pt idx="12">
                <c:v>300.0</c:v>
              </c:pt>
              <c:pt idx="13">
                <c:v>0.0</c:v>
              </c:pt>
            </c:numLit>
          </c:xVal>
          <c:yVal>
            <c:numLit>
              <c:formatCode>General</c:formatCode>
              <c:ptCount val="14"/>
              <c:pt idx="0">
                <c:v>9.795001750785491</c:v>
              </c:pt>
              <c:pt idx="1">
                <c:v>9.494927663116265</c:v>
              </c:pt>
              <c:pt idx="2">
                <c:v>7.319749960337933</c:v>
              </c:pt>
              <c:pt idx="3">
                <c:v>1.485428712117665</c:v>
              </c:pt>
              <c:pt idx="4">
                <c:v>0.0352103146347308</c:v>
              </c:pt>
              <c:pt idx="5">
                <c:v>0.00935506369853246</c:v>
              </c:pt>
              <c:pt idx="6">
                <c:v>0.00424481135252815</c:v>
              </c:pt>
              <c:pt idx="7">
                <c:v>0.00331968923908206</c:v>
              </c:pt>
              <c:pt idx="8">
                <c:v>0.00313726912378125</c:v>
              </c:pt>
              <c:pt idx="9">
                <c:v>0.00296834771068448</c:v>
              </c:pt>
              <c:pt idx="10">
                <c:v>0.00281271084324896</c:v>
              </c:pt>
              <c:pt idx="11">
                <c:v>0.00273944303472332</c:v>
              </c:pt>
              <c:pt idx="12">
                <c:v>0.00272513331543557</c:v>
              </c:pt>
              <c:pt idx="13">
                <c:v>0.00272086225966629</c:v>
              </c:pt>
            </c:numLit>
          </c:yVal>
          <c:smooth val="1"/>
        </c:ser>
        <c:ser>
          <c:idx val="1"/>
          <c:order val="1"/>
          <c:tx>
            <c:v>Moon gravity</c:v>
          </c:tx>
          <c:marker>
            <c:symbol val="none"/>
          </c:marker>
          <c:xVal>
            <c:numLit>
              <c:formatCode>General</c:formatCode>
              <c:ptCount val="14"/>
              <c:pt idx="0">
                <c:v>376300.0</c:v>
              </c:pt>
              <c:pt idx="1">
                <c:v>376200.0</c:v>
              </c:pt>
              <c:pt idx="2">
                <c:v>375300.0</c:v>
              </c:pt>
              <c:pt idx="3">
                <c:v>366300.0</c:v>
              </c:pt>
              <c:pt idx="4">
                <c:v>276300.0</c:v>
              </c:pt>
              <c:pt idx="5">
                <c:v>176300.0</c:v>
              </c:pt>
              <c:pt idx="6">
                <c:v>76300.0</c:v>
              </c:pt>
              <c:pt idx="7">
                <c:v>36200.0</c:v>
              </c:pt>
              <c:pt idx="8">
                <c:v>26300.0</c:v>
              </c:pt>
              <c:pt idx="9">
                <c:v>16300.0</c:v>
              </c:pt>
              <c:pt idx="10">
                <c:v>6300.0</c:v>
              </c:pt>
              <c:pt idx="11">
                <c:v>1300.0</c:v>
              </c:pt>
              <c:pt idx="12">
                <c:v>300.0</c:v>
              </c:pt>
              <c:pt idx="13">
                <c:v>0.0</c:v>
              </c:pt>
            </c:numLit>
          </c:xVal>
          <c:yVal>
            <c:numLit>
              <c:formatCode>General</c:formatCode>
              <c:ptCount val="14"/>
              <c:pt idx="0">
                <c:v>3.34567068297904E-5</c:v>
              </c:pt>
              <c:pt idx="1">
                <c:v>3.34744140232887E-5</c:v>
              </c:pt>
              <c:pt idx="2">
                <c:v>3.36344133100744E-5</c:v>
              </c:pt>
              <c:pt idx="3">
                <c:v>3.52995169039268E-5</c:v>
              </c:pt>
              <c:pt idx="4">
                <c:v>6.18508318433013E-5</c:v>
              </c:pt>
              <c:pt idx="5">
                <c:v>0.000150843956935503</c:v>
              </c:pt>
              <c:pt idx="6">
                <c:v>0.000785125700077931</c:v>
              </c:pt>
              <c:pt idx="7">
                <c:v>0.00332199566176251</c:v>
              </c:pt>
              <c:pt idx="8">
                <c:v>0.00608207032377732</c:v>
              </c:pt>
              <c:pt idx="9">
                <c:v>0.0146947967241555</c:v>
              </c:pt>
              <c:pt idx="10">
                <c:v>0.073999088903073</c:v>
              </c:pt>
              <c:pt idx="11">
                <c:v>0.517956737355256</c:v>
              </c:pt>
              <c:pt idx="12">
                <c:v>1.150849636467486</c:v>
              </c:pt>
              <c:pt idx="13">
                <c:v>1.582360136592445</c:v>
              </c:pt>
            </c:numLit>
          </c:yVal>
          <c:smooth val="1"/>
        </c:ser>
        <c:dLbls>
          <c:showLegendKey val="0"/>
          <c:showVal val="0"/>
          <c:showCatName val="0"/>
          <c:showSerName val="0"/>
          <c:showPercent val="0"/>
          <c:showBubbleSize val="0"/>
        </c:dLbls>
        <c:axId val="2086332872"/>
        <c:axId val="2086347272"/>
      </c:scatterChart>
      <c:valAx>
        <c:axId val="2086332872"/>
        <c:scaling>
          <c:orientation val="minMax"/>
          <c:max val="380000.0"/>
          <c:min val="0.0"/>
        </c:scaling>
        <c:delete val="0"/>
        <c:axPos val="b"/>
        <c:title>
          <c:tx>
            <c:rich>
              <a:bodyPr/>
              <a:lstStyle/>
              <a:p>
                <a:pPr>
                  <a:defRPr sz="900">
                    <a:latin typeface="Arial Narrow"/>
                  </a:defRPr>
                </a:pPr>
                <a:r>
                  <a:rPr lang="en-US" sz="900">
                    <a:latin typeface="Arial Narrow"/>
                  </a:rPr>
                  <a:t>Moon   	                                  </a:t>
                </a:r>
                <a:r>
                  <a:rPr lang="en-US" sz="900" baseline="0">
                    <a:latin typeface="Arial Narrow"/>
                  </a:rPr>
                  <a:t> </a:t>
                </a:r>
                <a:r>
                  <a:rPr lang="en-US" sz="900">
                    <a:latin typeface="Arial Narrow"/>
                  </a:rPr>
                  <a:t>                                      distance (thousand km)                          	                                                                    </a:t>
                </a:r>
                <a:r>
                  <a:rPr lang="en-US" sz="900" baseline="0">
                    <a:latin typeface="Arial Narrow"/>
                  </a:rPr>
                  <a:t>Earth</a:t>
                </a:r>
                <a:endParaRPr lang="en-US" sz="900">
                  <a:latin typeface="Arial Narrow"/>
                </a:endParaRPr>
              </a:p>
            </c:rich>
          </c:tx>
          <c:layout>
            <c:manualLayout>
              <c:xMode val="edge"/>
              <c:yMode val="edge"/>
              <c:x val="0.110427699536059"/>
              <c:y val="0.888888929543658"/>
            </c:manualLayout>
          </c:layout>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086347272"/>
        <c:crossesAt val="0.0"/>
        <c:crossBetween val="midCat"/>
        <c:minorUnit val="20000.0"/>
        <c:dispUnits>
          <c:builtInUnit val="thousands"/>
        </c:dispUnits>
      </c:valAx>
      <c:valAx>
        <c:axId val="2086347272"/>
        <c:scaling>
          <c:orientation val="minMax"/>
          <c:max val="10.0"/>
          <c:min val="0.0"/>
        </c:scaling>
        <c:delete val="0"/>
        <c:axPos val="l"/>
        <c:majorGridlines/>
        <c:title>
          <c:tx>
            <c:rich>
              <a:bodyPr rot="-5400000" vert="horz"/>
              <a:lstStyle/>
              <a:p>
                <a:pPr>
                  <a:defRPr sz="900">
                    <a:latin typeface="Arial Narrow"/>
                  </a:defRPr>
                </a:pPr>
                <a:r>
                  <a:rPr lang="en-US" sz="900">
                    <a:latin typeface="Arial Narrow"/>
                  </a:rPr>
                  <a:t>Gravity (m/s</a:t>
                </a:r>
                <a:r>
                  <a:rPr lang="en-US" sz="900" baseline="30000">
                    <a:latin typeface="Arial Narrow"/>
                  </a:rPr>
                  <a:t>2</a:t>
                </a:r>
                <a:r>
                  <a:rPr lang="en-US" sz="900">
                    <a:latin typeface="Arial Narrow"/>
                  </a:rPr>
                  <a:t> acceleration)</a:t>
                </a:r>
              </a:p>
            </c:rich>
          </c:tx>
          <c:layout>
            <c:manualLayout>
              <c:xMode val="edge"/>
              <c:yMode val="edge"/>
              <c:x val="0.0102477687146335"/>
              <c:y val="0.218340821804054"/>
            </c:manualLayout>
          </c:layout>
          <c:overlay val="0"/>
        </c:title>
        <c:numFmt formatCode="General" sourceLinked="1"/>
        <c:majorTickMark val="out"/>
        <c:minorTickMark val="none"/>
        <c:tickLblPos val="nextTo"/>
        <c:crossAx val="2086332872"/>
        <c:crossesAt val="0.0"/>
        <c:crossBetween val="midCat"/>
        <c:majorUnit val="2.5"/>
      </c:valAx>
      <c:spPr>
        <a:solidFill>
          <a:schemeClr val="bg1">
            <a:lumMod val="95000"/>
          </a:schemeClr>
        </a:solidFill>
      </c:spPr>
    </c:plotArea>
    <c:legend>
      <c:legendPos val="r"/>
      <c:layout>
        <c:manualLayout>
          <c:xMode val="edge"/>
          <c:yMode val="edge"/>
          <c:x val="0.180605285254836"/>
          <c:y val="0.36382352407562"/>
          <c:w val="0.218812877263581"/>
          <c:h val="0.231369969882797"/>
        </c:manualLayout>
      </c:layout>
      <c:overlay val="1"/>
      <c:spPr>
        <a:solidFill>
          <a:schemeClr val="bg1"/>
        </a:solidFill>
      </c:spPr>
    </c:legend>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4.tiff"/><Relationship Id="rId4" Type="http://schemas.openxmlformats.org/officeDocument/2006/relationships/image" Target="../media/image5.tiff"/><Relationship Id="rId5" Type="http://schemas.openxmlformats.org/officeDocument/2006/relationships/image" Target="../media/image6.tiff"/><Relationship Id="rId6" Type="http://schemas.openxmlformats.org/officeDocument/2006/relationships/image" Target="../media/image7.tiff"/><Relationship Id="rId7" Type="http://schemas.openxmlformats.org/officeDocument/2006/relationships/image" Target="../media/image8.tiff"/><Relationship Id="rId8" Type="http://schemas.openxmlformats.org/officeDocument/2006/relationships/image" Target="../media/image9.tiff"/><Relationship Id="rId9" Type="http://schemas.openxmlformats.org/officeDocument/2006/relationships/image" Target="../media/image10.tiff"/><Relationship Id="rId10" Type="http://schemas.openxmlformats.org/officeDocument/2006/relationships/image" Target="../media/image11.tiff"/><Relationship Id="rId11" Type="http://schemas.openxmlformats.org/officeDocument/2006/relationships/image" Target="../media/image12.tiff"/><Relationship Id="rId1" Type="http://schemas.openxmlformats.org/officeDocument/2006/relationships/image" Target="../media/image2.tiff"/><Relationship Id="rId2" Type="http://schemas.openxmlformats.org/officeDocument/2006/relationships/image" Target="../media/image3.tiff"/></Relationships>
</file>

<file path=xl/drawings/_rels/drawing3.xml.rels><?xml version="1.0" encoding="UTF-8" standalone="yes"?>
<Relationships xmlns="http://schemas.openxmlformats.org/package/2006/relationships"><Relationship Id="rId3" Type="http://schemas.openxmlformats.org/officeDocument/2006/relationships/image" Target="../media/image15.tiff"/><Relationship Id="rId4" Type="http://schemas.openxmlformats.org/officeDocument/2006/relationships/image" Target="../media/image16.tiff"/><Relationship Id="rId5" Type="http://schemas.openxmlformats.org/officeDocument/2006/relationships/image" Target="../media/image17.tiff"/><Relationship Id="rId6" Type="http://schemas.openxmlformats.org/officeDocument/2006/relationships/image" Target="../media/image18.tiff"/><Relationship Id="rId7" Type="http://schemas.openxmlformats.org/officeDocument/2006/relationships/image" Target="../media/image19.tiff"/><Relationship Id="rId8" Type="http://schemas.openxmlformats.org/officeDocument/2006/relationships/image" Target="../media/image20.tiff"/><Relationship Id="rId9" Type="http://schemas.openxmlformats.org/officeDocument/2006/relationships/image" Target="../media/image21.tiff"/><Relationship Id="rId1" Type="http://schemas.openxmlformats.org/officeDocument/2006/relationships/image" Target="../media/image13.tiff"/><Relationship Id="rId2" Type="http://schemas.openxmlformats.org/officeDocument/2006/relationships/image" Target="../media/image14.tif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187960</xdr:colOff>
      <xdr:row>43</xdr:row>
      <xdr:rowOff>96520</xdr:rowOff>
    </xdr:from>
    <xdr:to>
      <xdr:col>13</xdr:col>
      <xdr:colOff>571500</xdr:colOff>
      <xdr:row>57</xdr:row>
      <xdr:rowOff>127000</xdr:rowOff>
    </xdr:to>
    <xdr:graphicFrame macro="">
      <xdr:nvGraphicFramePr>
        <xdr:cNvPr id="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15</xdr:row>
          <xdr:rowOff>12700</xdr:rowOff>
        </xdr:from>
        <xdr:to>
          <xdr:col>3</xdr:col>
          <xdr:colOff>0</xdr:colOff>
          <xdr:row>15</xdr:row>
          <xdr:rowOff>152400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12700</xdr:rowOff>
        </xdr:from>
        <xdr:to>
          <xdr:col>3</xdr:col>
          <xdr:colOff>0</xdr:colOff>
          <xdr:row>20</xdr:row>
          <xdr:rowOff>152400</xdr:rowOff>
        </xdr:to>
        <xdr:sp macro="" textlink="">
          <xdr:nvSpPr>
            <xdr:cNvPr id="5122" name="Object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12700</xdr:rowOff>
        </xdr:from>
        <xdr:to>
          <xdr:col>3</xdr:col>
          <xdr:colOff>0</xdr:colOff>
          <xdr:row>22</xdr:row>
          <xdr:rowOff>190500</xdr:rowOff>
        </xdr:to>
        <xdr:sp macro="" textlink="">
          <xdr:nvSpPr>
            <xdr:cNvPr id="5123" name="Object 3" hidden="1">
              <a:extLst>
                <a:ext uri="{63B3BB69-23CF-44E3-9099-C40C66FF867C}">
                  <a14:compatExt spid="_x0000_s5123"/>
                </a:ext>
              </a:extLst>
            </xdr:cNvPr>
            <xdr:cNvSpPr/>
          </xdr:nvSpPr>
          <xdr:spPr>
            <a:xfrm>
              <a:off x="0" y="0"/>
              <a:ext cx="0" cy="0"/>
            </a:xfrm>
            <a:prstGeom prst="rect">
              <a:avLst/>
            </a:prstGeom>
          </xdr:spPr>
        </xdr:sp>
        <xdr:clientData/>
      </xdr:twoCellAnchor>
    </mc:Choice>
    <mc:Fallback/>
  </mc:AlternateContent>
  <xdr:twoCellAnchor editAs="oneCell">
    <xdr:from>
      <xdr:col>2</xdr:col>
      <xdr:colOff>57150</xdr:colOff>
      <xdr:row>5</xdr:row>
      <xdr:rowOff>127001</xdr:rowOff>
    </xdr:from>
    <xdr:to>
      <xdr:col>3</xdr:col>
      <xdr:colOff>654050</xdr:colOff>
      <xdr:row>5</xdr:row>
      <xdr:rowOff>353311</xdr:rowOff>
    </xdr:to>
    <xdr:pic>
      <xdr:nvPicPr>
        <xdr:cNvPr id="2" name="Picture 1"/>
        <xdr:cNvPicPr>
          <a:picLocks noChangeAspect="1"/>
        </xdr:cNvPicPr>
      </xdr:nvPicPr>
      <xdr:blipFill>
        <a:blip xmlns:r="http://schemas.openxmlformats.org/officeDocument/2006/relationships" r:embed="rId1"/>
        <a:stretch>
          <a:fillRect/>
        </a:stretch>
      </xdr:blipFill>
      <xdr:spPr>
        <a:xfrm>
          <a:off x="514350" y="1346201"/>
          <a:ext cx="1422400" cy="226310"/>
        </a:xfrm>
        <a:prstGeom prst="rect">
          <a:avLst/>
        </a:prstGeom>
      </xdr:spPr>
    </xdr:pic>
    <xdr:clientData/>
  </xdr:twoCellAnchor>
  <xdr:twoCellAnchor editAs="oneCell">
    <xdr:from>
      <xdr:col>2</xdr:col>
      <xdr:colOff>44449</xdr:colOff>
      <xdr:row>6</xdr:row>
      <xdr:rowOff>25401</xdr:rowOff>
    </xdr:from>
    <xdr:to>
      <xdr:col>3</xdr:col>
      <xdr:colOff>1409700</xdr:colOff>
      <xdr:row>6</xdr:row>
      <xdr:rowOff>491625</xdr:rowOff>
    </xdr:to>
    <xdr:pic>
      <xdr:nvPicPr>
        <xdr:cNvPr id="3" name="Picture 2"/>
        <xdr:cNvPicPr>
          <a:picLocks noChangeAspect="1"/>
        </xdr:cNvPicPr>
      </xdr:nvPicPr>
      <xdr:blipFill>
        <a:blip xmlns:r="http://schemas.openxmlformats.org/officeDocument/2006/relationships" r:embed="rId2"/>
        <a:stretch>
          <a:fillRect/>
        </a:stretch>
      </xdr:blipFill>
      <xdr:spPr>
        <a:xfrm>
          <a:off x="501649" y="1714501"/>
          <a:ext cx="2190751" cy="466224"/>
        </a:xfrm>
        <a:prstGeom prst="rect">
          <a:avLst/>
        </a:prstGeom>
      </xdr:spPr>
    </xdr:pic>
    <xdr:clientData/>
  </xdr:twoCellAnchor>
  <xdr:twoCellAnchor editAs="oneCell">
    <xdr:from>
      <xdr:col>2</xdr:col>
      <xdr:colOff>38099</xdr:colOff>
      <xdr:row>7</xdr:row>
      <xdr:rowOff>95250</xdr:rowOff>
    </xdr:from>
    <xdr:to>
      <xdr:col>3</xdr:col>
      <xdr:colOff>1543050</xdr:colOff>
      <xdr:row>7</xdr:row>
      <xdr:rowOff>554578</xdr:rowOff>
    </xdr:to>
    <xdr:pic>
      <xdr:nvPicPr>
        <xdr:cNvPr id="4" name="Picture 3"/>
        <xdr:cNvPicPr>
          <a:picLocks noChangeAspect="1"/>
        </xdr:cNvPicPr>
      </xdr:nvPicPr>
      <xdr:blipFill>
        <a:blip xmlns:r="http://schemas.openxmlformats.org/officeDocument/2006/relationships" r:embed="rId3"/>
        <a:stretch>
          <a:fillRect/>
        </a:stretch>
      </xdr:blipFill>
      <xdr:spPr>
        <a:xfrm>
          <a:off x="495299" y="2343150"/>
          <a:ext cx="2330451" cy="459328"/>
        </a:xfrm>
        <a:prstGeom prst="rect">
          <a:avLst/>
        </a:prstGeom>
      </xdr:spPr>
    </xdr:pic>
    <xdr:clientData/>
  </xdr:twoCellAnchor>
  <xdr:twoCellAnchor editAs="oneCell">
    <xdr:from>
      <xdr:col>2</xdr:col>
      <xdr:colOff>50801</xdr:colOff>
      <xdr:row>8</xdr:row>
      <xdr:rowOff>349250</xdr:rowOff>
    </xdr:from>
    <xdr:to>
      <xdr:col>3</xdr:col>
      <xdr:colOff>95250</xdr:colOff>
      <xdr:row>8</xdr:row>
      <xdr:rowOff>598257</xdr:rowOff>
    </xdr:to>
    <xdr:pic>
      <xdr:nvPicPr>
        <xdr:cNvPr id="5" name="Picture 4"/>
        <xdr:cNvPicPr>
          <a:picLocks noChangeAspect="1"/>
        </xdr:cNvPicPr>
      </xdr:nvPicPr>
      <xdr:blipFill>
        <a:blip xmlns:r="http://schemas.openxmlformats.org/officeDocument/2006/relationships" r:embed="rId4"/>
        <a:stretch>
          <a:fillRect/>
        </a:stretch>
      </xdr:blipFill>
      <xdr:spPr>
        <a:xfrm>
          <a:off x="330201" y="3651250"/>
          <a:ext cx="869949" cy="249007"/>
        </a:xfrm>
        <a:prstGeom prst="rect">
          <a:avLst/>
        </a:prstGeom>
      </xdr:spPr>
    </xdr:pic>
    <xdr:clientData/>
  </xdr:twoCellAnchor>
  <xdr:twoCellAnchor editAs="oneCell">
    <xdr:from>
      <xdr:col>2</xdr:col>
      <xdr:colOff>647700</xdr:colOff>
      <xdr:row>15</xdr:row>
      <xdr:rowOff>44450</xdr:rowOff>
    </xdr:from>
    <xdr:to>
      <xdr:col>2</xdr:col>
      <xdr:colOff>787400</xdr:colOff>
      <xdr:row>15</xdr:row>
      <xdr:rowOff>200269</xdr:rowOff>
    </xdr:to>
    <xdr:pic>
      <xdr:nvPicPr>
        <xdr:cNvPr id="6" name="Picture 5"/>
        <xdr:cNvPicPr>
          <a:picLocks noChangeAspect="1"/>
        </xdr:cNvPicPr>
      </xdr:nvPicPr>
      <xdr:blipFill>
        <a:blip xmlns:r="http://schemas.openxmlformats.org/officeDocument/2006/relationships" r:embed="rId5"/>
        <a:stretch>
          <a:fillRect/>
        </a:stretch>
      </xdr:blipFill>
      <xdr:spPr>
        <a:xfrm>
          <a:off x="1104900" y="5441950"/>
          <a:ext cx="139700" cy="155819"/>
        </a:xfrm>
        <a:prstGeom prst="rect">
          <a:avLst/>
        </a:prstGeom>
      </xdr:spPr>
    </xdr:pic>
    <xdr:clientData/>
  </xdr:twoCellAnchor>
  <xdr:twoCellAnchor editAs="oneCell">
    <xdr:from>
      <xdr:col>2</xdr:col>
      <xdr:colOff>660400</xdr:colOff>
      <xdr:row>20</xdr:row>
      <xdr:rowOff>57150</xdr:rowOff>
    </xdr:from>
    <xdr:to>
      <xdr:col>2</xdr:col>
      <xdr:colOff>812800</xdr:colOff>
      <xdr:row>20</xdr:row>
      <xdr:rowOff>222250</xdr:rowOff>
    </xdr:to>
    <xdr:pic>
      <xdr:nvPicPr>
        <xdr:cNvPr id="7" name="Picture 6"/>
        <xdr:cNvPicPr>
          <a:picLocks noChangeAspect="1"/>
        </xdr:cNvPicPr>
      </xdr:nvPicPr>
      <xdr:blipFill>
        <a:blip xmlns:r="http://schemas.openxmlformats.org/officeDocument/2006/relationships" r:embed="rId6"/>
        <a:stretch>
          <a:fillRect/>
        </a:stretch>
      </xdr:blipFill>
      <xdr:spPr>
        <a:xfrm>
          <a:off x="1117600" y="6851650"/>
          <a:ext cx="152400" cy="165100"/>
        </a:xfrm>
        <a:prstGeom prst="rect">
          <a:avLst/>
        </a:prstGeom>
      </xdr:spPr>
    </xdr:pic>
    <xdr:clientData/>
  </xdr:twoCellAnchor>
  <xdr:twoCellAnchor editAs="oneCell">
    <xdr:from>
      <xdr:col>2</xdr:col>
      <xdr:colOff>666750</xdr:colOff>
      <xdr:row>22</xdr:row>
      <xdr:rowOff>31750</xdr:rowOff>
    </xdr:from>
    <xdr:to>
      <xdr:col>2</xdr:col>
      <xdr:colOff>812800</xdr:colOff>
      <xdr:row>22</xdr:row>
      <xdr:rowOff>229961</xdr:rowOff>
    </xdr:to>
    <xdr:pic>
      <xdr:nvPicPr>
        <xdr:cNvPr id="8" name="Picture 7"/>
        <xdr:cNvPicPr>
          <a:picLocks noChangeAspect="1"/>
        </xdr:cNvPicPr>
      </xdr:nvPicPr>
      <xdr:blipFill>
        <a:blip xmlns:r="http://schemas.openxmlformats.org/officeDocument/2006/relationships" r:embed="rId7"/>
        <a:stretch>
          <a:fillRect/>
        </a:stretch>
      </xdr:blipFill>
      <xdr:spPr>
        <a:xfrm>
          <a:off x="1123950" y="7385050"/>
          <a:ext cx="146050" cy="198211"/>
        </a:xfrm>
        <a:prstGeom prst="rect">
          <a:avLst/>
        </a:prstGeom>
      </xdr:spPr>
    </xdr:pic>
    <xdr:clientData/>
  </xdr:twoCellAnchor>
  <xdr:twoCellAnchor editAs="oneCell">
    <xdr:from>
      <xdr:col>2</xdr:col>
      <xdr:colOff>647700</xdr:colOff>
      <xdr:row>23</xdr:row>
      <xdr:rowOff>31750</xdr:rowOff>
    </xdr:from>
    <xdr:to>
      <xdr:col>2</xdr:col>
      <xdr:colOff>793750</xdr:colOff>
      <xdr:row>23</xdr:row>
      <xdr:rowOff>231233</xdr:rowOff>
    </xdr:to>
    <xdr:pic>
      <xdr:nvPicPr>
        <xdr:cNvPr id="9" name="Picture 8"/>
        <xdr:cNvPicPr>
          <a:picLocks noChangeAspect="1"/>
        </xdr:cNvPicPr>
      </xdr:nvPicPr>
      <xdr:blipFill>
        <a:blip xmlns:r="http://schemas.openxmlformats.org/officeDocument/2006/relationships" r:embed="rId8"/>
        <a:stretch>
          <a:fillRect/>
        </a:stretch>
      </xdr:blipFill>
      <xdr:spPr>
        <a:xfrm>
          <a:off x="1104900" y="7664450"/>
          <a:ext cx="146050" cy="199483"/>
        </a:xfrm>
        <a:prstGeom prst="rect">
          <a:avLst/>
        </a:prstGeom>
      </xdr:spPr>
    </xdr:pic>
    <xdr:clientData/>
  </xdr:twoCellAnchor>
  <xdr:twoCellAnchor editAs="oneCell">
    <xdr:from>
      <xdr:col>2</xdr:col>
      <xdr:colOff>647700</xdr:colOff>
      <xdr:row>24</xdr:row>
      <xdr:rowOff>38100</xdr:rowOff>
    </xdr:from>
    <xdr:to>
      <xdr:col>2</xdr:col>
      <xdr:colOff>812800</xdr:colOff>
      <xdr:row>24</xdr:row>
      <xdr:rowOff>231302</xdr:rowOff>
    </xdr:to>
    <xdr:pic>
      <xdr:nvPicPr>
        <xdr:cNvPr id="10" name="Picture 9"/>
        <xdr:cNvPicPr>
          <a:picLocks noChangeAspect="1"/>
        </xdr:cNvPicPr>
      </xdr:nvPicPr>
      <xdr:blipFill>
        <a:blip xmlns:r="http://schemas.openxmlformats.org/officeDocument/2006/relationships" r:embed="rId9"/>
        <a:stretch>
          <a:fillRect/>
        </a:stretch>
      </xdr:blipFill>
      <xdr:spPr>
        <a:xfrm>
          <a:off x="1104900" y="7950200"/>
          <a:ext cx="165100" cy="193202"/>
        </a:xfrm>
        <a:prstGeom prst="rect">
          <a:avLst/>
        </a:prstGeom>
      </xdr:spPr>
    </xdr:pic>
    <xdr:clientData/>
  </xdr:twoCellAnchor>
  <xdr:twoCellAnchor editAs="oneCell">
    <xdr:from>
      <xdr:col>10</xdr:col>
      <xdr:colOff>19049</xdr:colOff>
      <xdr:row>6</xdr:row>
      <xdr:rowOff>76200</xdr:rowOff>
    </xdr:from>
    <xdr:to>
      <xdr:col>11</xdr:col>
      <xdr:colOff>1393464</xdr:colOff>
      <xdr:row>6</xdr:row>
      <xdr:rowOff>488950</xdr:rowOff>
    </xdr:to>
    <xdr:pic>
      <xdr:nvPicPr>
        <xdr:cNvPr id="12" name="Picture 11"/>
        <xdr:cNvPicPr>
          <a:picLocks noChangeAspect="1"/>
        </xdr:cNvPicPr>
      </xdr:nvPicPr>
      <xdr:blipFill>
        <a:blip xmlns:r="http://schemas.openxmlformats.org/officeDocument/2006/relationships" r:embed="rId10"/>
        <a:stretch>
          <a:fillRect/>
        </a:stretch>
      </xdr:blipFill>
      <xdr:spPr>
        <a:xfrm>
          <a:off x="7245349" y="1765300"/>
          <a:ext cx="2199915" cy="412750"/>
        </a:xfrm>
        <a:prstGeom prst="rect">
          <a:avLst/>
        </a:prstGeom>
      </xdr:spPr>
    </xdr:pic>
    <xdr:clientData/>
  </xdr:twoCellAnchor>
  <xdr:twoCellAnchor editAs="oneCell">
    <xdr:from>
      <xdr:col>10</xdr:col>
      <xdr:colOff>44451</xdr:colOff>
      <xdr:row>5</xdr:row>
      <xdr:rowOff>114300</xdr:rowOff>
    </xdr:from>
    <xdr:to>
      <xdr:col>11</xdr:col>
      <xdr:colOff>368300</xdr:colOff>
      <xdr:row>5</xdr:row>
      <xdr:rowOff>498625</xdr:rowOff>
    </xdr:to>
    <xdr:pic>
      <xdr:nvPicPr>
        <xdr:cNvPr id="13" name="Picture 12"/>
        <xdr:cNvPicPr>
          <a:picLocks noChangeAspect="1"/>
        </xdr:cNvPicPr>
      </xdr:nvPicPr>
      <xdr:blipFill>
        <a:blip xmlns:r="http://schemas.openxmlformats.org/officeDocument/2006/relationships" r:embed="rId11"/>
        <a:stretch>
          <a:fillRect/>
        </a:stretch>
      </xdr:blipFill>
      <xdr:spPr>
        <a:xfrm>
          <a:off x="6216651" y="1600200"/>
          <a:ext cx="1149349" cy="384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44450</xdr:colOff>
      <xdr:row>19</xdr:row>
      <xdr:rowOff>38100</xdr:rowOff>
    </xdr:from>
    <xdr:to>
      <xdr:col>2</xdr:col>
      <xdr:colOff>1028700</xdr:colOff>
      <xdr:row>20</xdr:row>
      <xdr:rowOff>209202</xdr:rowOff>
    </xdr:to>
    <xdr:pic>
      <xdr:nvPicPr>
        <xdr:cNvPr id="2" name="Picture 1"/>
        <xdr:cNvPicPr>
          <a:picLocks noChangeAspect="1"/>
        </xdr:cNvPicPr>
      </xdr:nvPicPr>
      <xdr:blipFill>
        <a:blip xmlns:r="http://schemas.openxmlformats.org/officeDocument/2006/relationships" r:embed="rId1"/>
        <a:stretch>
          <a:fillRect/>
        </a:stretch>
      </xdr:blipFill>
      <xdr:spPr>
        <a:xfrm>
          <a:off x="514350" y="5626100"/>
          <a:ext cx="984250" cy="450502"/>
        </a:xfrm>
        <a:prstGeom prst="rect">
          <a:avLst/>
        </a:prstGeom>
      </xdr:spPr>
    </xdr:pic>
    <xdr:clientData/>
  </xdr:twoCellAnchor>
  <xdr:twoCellAnchor editAs="oneCell">
    <xdr:from>
      <xdr:col>2</xdr:col>
      <xdr:colOff>38101</xdr:colOff>
      <xdr:row>24</xdr:row>
      <xdr:rowOff>222251</xdr:rowOff>
    </xdr:from>
    <xdr:to>
      <xdr:col>3</xdr:col>
      <xdr:colOff>12701</xdr:colOff>
      <xdr:row>26</xdr:row>
      <xdr:rowOff>193632</xdr:rowOff>
    </xdr:to>
    <xdr:pic>
      <xdr:nvPicPr>
        <xdr:cNvPr id="3" name="Picture 2"/>
        <xdr:cNvPicPr>
          <a:picLocks noChangeAspect="1"/>
        </xdr:cNvPicPr>
      </xdr:nvPicPr>
      <xdr:blipFill>
        <a:blip xmlns:r="http://schemas.openxmlformats.org/officeDocument/2006/relationships" r:embed="rId2"/>
        <a:stretch>
          <a:fillRect/>
        </a:stretch>
      </xdr:blipFill>
      <xdr:spPr>
        <a:xfrm>
          <a:off x="508001" y="7207251"/>
          <a:ext cx="1320800" cy="530181"/>
        </a:xfrm>
        <a:prstGeom prst="rect">
          <a:avLst/>
        </a:prstGeom>
      </xdr:spPr>
    </xdr:pic>
    <xdr:clientData/>
  </xdr:twoCellAnchor>
  <xdr:twoCellAnchor editAs="oneCell">
    <xdr:from>
      <xdr:col>2</xdr:col>
      <xdr:colOff>31751</xdr:colOff>
      <xdr:row>23</xdr:row>
      <xdr:rowOff>184150</xdr:rowOff>
    </xdr:from>
    <xdr:to>
      <xdr:col>2</xdr:col>
      <xdr:colOff>1028701</xdr:colOff>
      <xdr:row>24</xdr:row>
      <xdr:rowOff>132125</xdr:rowOff>
    </xdr:to>
    <xdr:pic>
      <xdr:nvPicPr>
        <xdr:cNvPr id="4" name="Picture 3"/>
        <xdr:cNvPicPr>
          <a:picLocks noChangeAspect="1"/>
        </xdr:cNvPicPr>
      </xdr:nvPicPr>
      <xdr:blipFill>
        <a:blip xmlns:r="http://schemas.openxmlformats.org/officeDocument/2006/relationships" r:embed="rId3"/>
        <a:stretch>
          <a:fillRect/>
        </a:stretch>
      </xdr:blipFill>
      <xdr:spPr>
        <a:xfrm>
          <a:off x="501651" y="7169150"/>
          <a:ext cx="996950" cy="227375"/>
        </a:xfrm>
        <a:prstGeom prst="rect">
          <a:avLst/>
        </a:prstGeom>
      </xdr:spPr>
    </xdr:pic>
    <xdr:clientData/>
  </xdr:twoCellAnchor>
  <xdr:twoCellAnchor editAs="oneCell">
    <xdr:from>
      <xdr:col>2</xdr:col>
      <xdr:colOff>25400</xdr:colOff>
      <xdr:row>21</xdr:row>
      <xdr:rowOff>165100</xdr:rowOff>
    </xdr:from>
    <xdr:to>
      <xdr:col>2</xdr:col>
      <xdr:colOff>965200</xdr:colOff>
      <xdr:row>22</xdr:row>
      <xdr:rowOff>132151</xdr:rowOff>
    </xdr:to>
    <xdr:pic>
      <xdr:nvPicPr>
        <xdr:cNvPr id="5" name="Picture 4"/>
        <xdr:cNvPicPr>
          <a:picLocks noChangeAspect="1"/>
        </xdr:cNvPicPr>
      </xdr:nvPicPr>
      <xdr:blipFill>
        <a:blip xmlns:r="http://schemas.openxmlformats.org/officeDocument/2006/relationships" r:embed="rId4"/>
        <a:stretch>
          <a:fillRect/>
        </a:stretch>
      </xdr:blipFill>
      <xdr:spPr>
        <a:xfrm>
          <a:off x="495300" y="6591300"/>
          <a:ext cx="939800" cy="246451"/>
        </a:xfrm>
        <a:prstGeom prst="rect">
          <a:avLst/>
        </a:prstGeom>
      </xdr:spPr>
    </xdr:pic>
    <xdr:clientData/>
  </xdr:twoCellAnchor>
  <xdr:twoCellAnchor editAs="oneCell">
    <xdr:from>
      <xdr:col>2</xdr:col>
      <xdr:colOff>76200</xdr:colOff>
      <xdr:row>26</xdr:row>
      <xdr:rowOff>254000</xdr:rowOff>
    </xdr:from>
    <xdr:to>
      <xdr:col>2</xdr:col>
      <xdr:colOff>923925</xdr:colOff>
      <xdr:row>28</xdr:row>
      <xdr:rowOff>209550</xdr:rowOff>
    </xdr:to>
    <xdr:pic>
      <xdr:nvPicPr>
        <xdr:cNvPr id="6" name="Picture 5"/>
        <xdr:cNvPicPr>
          <a:picLocks noChangeAspect="1"/>
        </xdr:cNvPicPr>
      </xdr:nvPicPr>
      <xdr:blipFill>
        <a:blip xmlns:r="http://schemas.openxmlformats.org/officeDocument/2006/relationships" r:embed="rId5"/>
        <a:stretch>
          <a:fillRect/>
        </a:stretch>
      </xdr:blipFill>
      <xdr:spPr>
        <a:xfrm>
          <a:off x="546100" y="7797800"/>
          <a:ext cx="847725" cy="514350"/>
        </a:xfrm>
        <a:prstGeom prst="rect">
          <a:avLst/>
        </a:prstGeom>
      </xdr:spPr>
    </xdr:pic>
    <xdr:clientData/>
  </xdr:twoCellAnchor>
  <xdr:twoCellAnchor editAs="oneCell">
    <xdr:from>
      <xdr:col>12</xdr:col>
      <xdr:colOff>184150</xdr:colOff>
      <xdr:row>16</xdr:row>
      <xdr:rowOff>6351</xdr:rowOff>
    </xdr:from>
    <xdr:to>
      <xdr:col>12</xdr:col>
      <xdr:colOff>330200</xdr:colOff>
      <xdr:row>16</xdr:row>
      <xdr:rowOff>229483</xdr:rowOff>
    </xdr:to>
    <xdr:pic>
      <xdr:nvPicPr>
        <xdr:cNvPr id="7" name="Picture 6"/>
        <xdr:cNvPicPr>
          <a:picLocks noChangeAspect="1"/>
        </xdr:cNvPicPr>
      </xdr:nvPicPr>
      <xdr:blipFill>
        <a:blip xmlns:r="http://schemas.openxmlformats.org/officeDocument/2006/relationships" r:embed="rId6"/>
        <a:stretch>
          <a:fillRect/>
        </a:stretch>
      </xdr:blipFill>
      <xdr:spPr>
        <a:xfrm>
          <a:off x="8858250" y="4756151"/>
          <a:ext cx="146050" cy="223132"/>
        </a:xfrm>
        <a:prstGeom prst="rect">
          <a:avLst/>
        </a:prstGeom>
      </xdr:spPr>
    </xdr:pic>
    <xdr:clientData/>
  </xdr:twoCellAnchor>
  <xdr:twoCellAnchor editAs="oneCell">
    <xdr:from>
      <xdr:col>12</xdr:col>
      <xdr:colOff>177800</xdr:colOff>
      <xdr:row>17</xdr:row>
      <xdr:rowOff>19050</xdr:rowOff>
    </xdr:from>
    <xdr:to>
      <xdr:col>12</xdr:col>
      <xdr:colOff>330200</xdr:colOff>
      <xdr:row>17</xdr:row>
      <xdr:rowOff>243417</xdr:rowOff>
    </xdr:to>
    <xdr:pic>
      <xdr:nvPicPr>
        <xdr:cNvPr id="8" name="Picture 7"/>
        <xdr:cNvPicPr>
          <a:picLocks noChangeAspect="1"/>
        </xdr:cNvPicPr>
      </xdr:nvPicPr>
      <xdr:blipFill>
        <a:blip xmlns:r="http://schemas.openxmlformats.org/officeDocument/2006/relationships" r:embed="rId7"/>
        <a:stretch>
          <a:fillRect/>
        </a:stretch>
      </xdr:blipFill>
      <xdr:spPr>
        <a:xfrm>
          <a:off x="8851900" y="5048250"/>
          <a:ext cx="152400" cy="224367"/>
        </a:xfrm>
        <a:prstGeom prst="rect">
          <a:avLst/>
        </a:prstGeom>
      </xdr:spPr>
    </xdr:pic>
    <xdr:clientData/>
  </xdr:twoCellAnchor>
  <xdr:twoCellAnchor editAs="oneCell">
    <xdr:from>
      <xdr:col>12</xdr:col>
      <xdr:colOff>184150</xdr:colOff>
      <xdr:row>10</xdr:row>
      <xdr:rowOff>12700</xdr:rowOff>
    </xdr:from>
    <xdr:to>
      <xdr:col>12</xdr:col>
      <xdr:colOff>298450</xdr:colOff>
      <xdr:row>10</xdr:row>
      <xdr:rowOff>218440</xdr:rowOff>
    </xdr:to>
    <xdr:pic>
      <xdr:nvPicPr>
        <xdr:cNvPr id="9" name="Picture 8"/>
        <xdr:cNvPicPr>
          <a:picLocks noChangeAspect="1"/>
        </xdr:cNvPicPr>
      </xdr:nvPicPr>
      <xdr:blipFill>
        <a:blip xmlns:r="http://schemas.openxmlformats.org/officeDocument/2006/relationships" r:embed="rId8"/>
        <a:stretch>
          <a:fillRect/>
        </a:stretch>
      </xdr:blipFill>
      <xdr:spPr>
        <a:xfrm>
          <a:off x="8858250" y="3086100"/>
          <a:ext cx="114300" cy="205740"/>
        </a:xfrm>
        <a:prstGeom prst="rect">
          <a:avLst/>
        </a:prstGeom>
      </xdr:spPr>
    </xdr:pic>
    <xdr:clientData/>
  </xdr:twoCellAnchor>
  <xdr:twoCellAnchor editAs="oneCell">
    <xdr:from>
      <xdr:col>12</xdr:col>
      <xdr:colOff>177800</xdr:colOff>
      <xdr:row>21</xdr:row>
      <xdr:rowOff>50800</xdr:rowOff>
    </xdr:from>
    <xdr:to>
      <xdr:col>12</xdr:col>
      <xdr:colOff>317500</xdr:colOff>
      <xdr:row>21</xdr:row>
      <xdr:rowOff>254529</xdr:rowOff>
    </xdr:to>
    <xdr:pic>
      <xdr:nvPicPr>
        <xdr:cNvPr id="10" name="Picture 9"/>
        <xdr:cNvPicPr>
          <a:picLocks noChangeAspect="1"/>
        </xdr:cNvPicPr>
      </xdr:nvPicPr>
      <xdr:blipFill>
        <a:blip xmlns:r="http://schemas.openxmlformats.org/officeDocument/2006/relationships" r:embed="rId9"/>
        <a:stretch>
          <a:fillRect/>
        </a:stretch>
      </xdr:blipFill>
      <xdr:spPr>
        <a:xfrm>
          <a:off x="8851900" y="6197600"/>
          <a:ext cx="139700" cy="2037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oleObject" Target="../embeddings/Microsoft_Equation1.bin"/><Relationship Id="rId4" Type="http://schemas.openxmlformats.org/officeDocument/2006/relationships/image" Target="../media/image1.emf"/><Relationship Id="rId5" Type="http://schemas.openxmlformats.org/officeDocument/2006/relationships/oleObject" Target="../embeddings/Microsoft_Equation2.bin"/><Relationship Id="rId6" Type="http://schemas.openxmlformats.org/officeDocument/2006/relationships/oleObject" Target="../embeddings/Microsoft_Equation3.bin"/><Relationship Id="rId1" Type="http://schemas.openxmlformats.org/officeDocument/2006/relationships/drawing" Target="../drawings/drawing2.xml"/><Relationship Id="rId2"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51"/>
  <sheetViews>
    <sheetView showGridLines="0" showRuler="0" workbookViewId="0"/>
  </sheetViews>
  <sheetFormatPr baseColWidth="10" defaultRowHeight="15" x14ac:dyDescent="0"/>
  <cols>
    <col min="1" max="1" width="4.83203125" customWidth="1"/>
    <col min="2" max="2" width="1.6640625" customWidth="1"/>
    <col min="3" max="3" width="15.5" customWidth="1"/>
    <col min="4" max="4" width="9.5" customWidth="1"/>
    <col min="5" max="5" width="10.6640625" customWidth="1"/>
    <col min="6" max="6" width="9" customWidth="1"/>
    <col min="8" max="8" width="12.33203125" customWidth="1"/>
    <col min="9" max="9" width="15.33203125" customWidth="1"/>
    <col min="10" max="10" width="16.6640625" customWidth="1"/>
    <col min="11" max="11" width="4.1640625" customWidth="1"/>
    <col min="12" max="12" width="5" customWidth="1"/>
    <col min="13" max="13" width="8.1640625" customWidth="1"/>
    <col min="14" max="14" width="1.5" customWidth="1"/>
  </cols>
  <sheetData>
    <row r="1" spans="2:14" ht="23">
      <c r="B1" s="238" t="s">
        <v>78</v>
      </c>
    </row>
    <row r="3" spans="2:14">
      <c r="B3" s="239"/>
      <c r="C3" s="241"/>
      <c r="D3" s="241"/>
      <c r="E3" s="241"/>
      <c r="F3" s="241"/>
      <c r="G3" s="241"/>
      <c r="H3" s="241"/>
      <c r="I3" s="241"/>
      <c r="J3" s="241"/>
      <c r="K3" s="241"/>
      <c r="L3" s="241"/>
      <c r="M3" s="241"/>
      <c r="N3" s="242"/>
    </row>
    <row r="4" spans="2:14" ht="40" customHeight="1">
      <c r="B4" s="1"/>
      <c r="C4" s="272" t="s">
        <v>79</v>
      </c>
      <c r="D4" s="272"/>
      <c r="E4" s="272"/>
      <c r="F4" s="272"/>
      <c r="G4" s="272"/>
      <c r="H4" s="272"/>
      <c r="I4" s="272"/>
      <c r="J4" s="272"/>
      <c r="K4" s="272"/>
      <c r="L4" s="272"/>
      <c r="M4" s="272"/>
      <c r="N4" s="240"/>
    </row>
    <row r="5" spans="2:14">
      <c r="B5" s="1"/>
      <c r="C5" s="6"/>
      <c r="D5" s="106"/>
      <c r="E5" s="6"/>
      <c r="F5" s="6"/>
      <c r="G5" s="6"/>
      <c r="H5" s="6"/>
      <c r="I5" s="6"/>
      <c r="J5" s="6"/>
      <c r="K5" s="6"/>
      <c r="L5" s="6"/>
      <c r="M5" s="6"/>
      <c r="N5" s="41"/>
    </row>
    <row r="6" spans="2:14">
      <c r="B6" s="1"/>
      <c r="C6" s="7" t="s">
        <v>80</v>
      </c>
      <c r="D6" s="126" t="s">
        <v>1</v>
      </c>
      <c r="E6" s="270" t="s">
        <v>81</v>
      </c>
      <c r="F6" s="270"/>
      <c r="G6" s="270" t="s">
        <v>82</v>
      </c>
      <c r="H6" s="270"/>
      <c r="I6" s="7" t="s">
        <v>32</v>
      </c>
      <c r="J6" s="42"/>
      <c r="K6" s="6"/>
      <c r="L6" s="6"/>
      <c r="M6" s="6"/>
      <c r="N6" s="41"/>
    </row>
    <row r="7" spans="2:14">
      <c r="B7" s="1"/>
      <c r="C7" s="7"/>
      <c r="D7" s="126"/>
      <c r="E7" s="126"/>
      <c r="F7" s="126"/>
      <c r="G7" s="126"/>
      <c r="H7" s="126"/>
      <c r="I7" s="7"/>
      <c r="J7" s="42"/>
      <c r="K7" s="6"/>
      <c r="L7" s="6"/>
      <c r="M7" s="6"/>
      <c r="N7" s="41"/>
    </row>
    <row r="8" spans="2:14" s="107" customFormat="1" ht="22" customHeight="1">
      <c r="B8" s="113"/>
      <c r="C8" s="179" t="s">
        <v>83</v>
      </c>
      <c r="D8" s="180"/>
      <c r="E8" s="181"/>
      <c r="F8" s="103"/>
      <c r="G8" s="103"/>
      <c r="H8" s="182"/>
      <c r="I8" s="183"/>
      <c r="J8" s="181"/>
      <c r="K8" s="182"/>
      <c r="L8" s="103"/>
      <c r="M8" s="103"/>
      <c r="N8" s="184"/>
    </row>
    <row r="9" spans="2:14" s="107" customFormat="1" ht="22" customHeight="1">
      <c r="B9" s="113"/>
      <c r="C9" s="103" t="s">
        <v>84</v>
      </c>
      <c r="D9" s="31" t="s">
        <v>85</v>
      </c>
      <c r="E9" s="103"/>
      <c r="F9" s="103"/>
      <c r="G9" s="103">
        <v>60</v>
      </c>
      <c r="H9" s="103" t="s">
        <v>86</v>
      </c>
      <c r="I9" s="103"/>
      <c r="J9" s="103"/>
      <c r="K9" s="103"/>
      <c r="L9" s="103"/>
      <c r="M9" s="103"/>
      <c r="N9" s="184"/>
    </row>
    <row r="10" spans="2:14" s="107" customFormat="1" ht="22" customHeight="1">
      <c r="B10" s="113"/>
      <c r="C10" s="103" t="s">
        <v>87</v>
      </c>
      <c r="D10" s="31" t="s">
        <v>41</v>
      </c>
      <c r="E10" s="103"/>
      <c r="F10" s="103"/>
      <c r="G10" s="185">
        <f>60*G9</f>
        <v>3600</v>
      </c>
      <c r="H10" s="103" t="s">
        <v>86</v>
      </c>
      <c r="I10" s="103"/>
      <c r="J10" s="103"/>
      <c r="K10" s="103"/>
      <c r="L10" s="103"/>
      <c r="M10" s="103"/>
      <c r="N10" s="184"/>
    </row>
    <row r="11" spans="2:14" s="107" customFormat="1" ht="22" customHeight="1">
      <c r="B11" s="113"/>
      <c r="C11" s="103" t="s">
        <v>88</v>
      </c>
      <c r="D11" s="31" t="s">
        <v>89</v>
      </c>
      <c r="E11" s="103"/>
      <c r="F11" s="103"/>
      <c r="G11" s="185">
        <f>24*G10</f>
        <v>86400</v>
      </c>
      <c r="H11" s="103" t="s">
        <v>86</v>
      </c>
      <c r="I11" s="103"/>
      <c r="J11" s="103"/>
      <c r="K11" s="103"/>
      <c r="L11" s="103"/>
      <c r="M11" s="103"/>
      <c r="N11" s="184"/>
    </row>
    <row r="12" spans="2:14" s="107" customFormat="1" ht="22" customHeight="1">
      <c r="B12" s="113"/>
      <c r="C12" s="103" t="s">
        <v>90</v>
      </c>
      <c r="D12" s="31" t="s">
        <v>91</v>
      </c>
      <c r="E12" s="103"/>
      <c r="F12" s="103"/>
      <c r="G12" s="185">
        <f>365.25*G11</f>
        <v>31557600</v>
      </c>
      <c r="H12" s="103" t="s">
        <v>86</v>
      </c>
      <c r="I12" s="119" t="s">
        <v>92</v>
      </c>
      <c r="J12" s="103"/>
      <c r="K12" s="103"/>
      <c r="L12" s="103"/>
      <c r="M12" s="103"/>
      <c r="N12" s="184"/>
    </row>
    <row r="13" spans="2:14">
      <c r="B13" s="1"/>
      <c r="C13" s="6"/>
      <c r="D13" s="106"/>
      <c r="E13" s="6"/>
      <c r="F13" s="6"/>
      <c r="G13" s="15"/>
      <c r="H13" s="6"/>
      <c r="I13" s="37"/>
      <c r="J13" s="6"/>
      <c r="K13" s="6"/>
      <c r="L13" s="6"/>
      <c r="M13" s="6"/>
      <c r="N13" s="41"/>
    </row>
    <row r="14" spans="2:14" s="107" customFormat="1" ht="22" customHeight="1">
      <c r="B14" s="113"/>
      <c r="C14" s="179" t="s">
        <v>93</v>
      </c>
      <c r="D14" s="186"/>
      <c r="E14" s="103"/>
      <c r="F14" s="103"/>
      <c r="G14" s="103"/>
      <c r="H14" s="103"/>
      <c r="I14" s="103"/>
      <c r="J14" s="187"/>
      <c r="K14" s="103"/>
      <c r="L14" s="103"/>
      <c r="M14" s="103"/>
      <c r="N14" s="184"/>
    </row>
    <row r="15" spans="2:14" s="107" customFormat="1" ht="22" customHeight="1">
      <c r="B15" s="113"/>
      <c r="C15" s="176" t="s">
        <v>94</v>
      </c>
      <c r="D15" s="188" t="s">
        <v>95</v>
      </c>
      <c r="E15" s="103"/>
      <c r="F15" s="103"/>
      <c r="G15" s="189">
        <f>PI()/180</f>
        <v>1.7453292519943295E-2</v>
      </c>
      <c r="H15" s="176" t="s">
        <v>96</v>
      </c>
      <c r="I15" s="103" t="s">
        <v>97</v>
      </c>
      <c r="J15" s="103"/>
      <c r="K15" s="103"/>
      <c r="L15" s="103"/>
      <c r="M15" s="103"/>
      <c r="N15" s="184"/>
    </row>
    <row r="16" spans="2:14" s="107" customFormat="1" ht="22" customHeight="1">
      <c r="B16" s="113"/>
      <c r="C16" s="176" t="s">
        <v>84</v>
      </c>
      <c r="D16" s="138" t="s">
        <v>98</v>
      </c>
      <c r="E16" s="103"/>
      <c r="F16" s="103"/>
      <c r="G16" s="190">
        <f>G15/60</f>
        <v>2.9088820866572158E-4</v>
      </c>
      <c r="H16" s="176" t="s">
        <v>96</v>
      </c>
      <c r="I16" s="103"/>
      <c r="J16" s="103"/>
      <c r="K16" s="103"/>
      <c r="L16" s="103"/>
      <c r="M16" s="103"/>
      <c r="N16" s="184"/>
    </row>
    <row r="17" spans="2:14" s="107" customFormat="1" ht="22" customHeight="1">
      <c r="B17" s="113"/>
      <c r="C17" s="176" t="s">
        <v>99</v>
      </c>
      <c r="D17" s="138" t="s">
        <v>100</v>
      </c>
      <c r="E17" s="103"/>
      <c r="F17" s="103"/>
      <c r="G17" s="190">
        <f>G16/60</f>
        <v>4.8481368110953598E-6</v>
      </c>
      <c r="H17" s="176" t="s">
        <v>96</v>
      </c>
      <c r="I17" s="103"/>
      <c r="J17" s="103"/>
      <c r="K17" s="103"/>
      <c r="L17" s="103"/>
      <c r="M17" s="103"/>
      <c r="N17" s="184"/>
    </row>
    <row r="18" spans="2:14">
      <c r="B18" s="1"/>
      <c r="C18" s="8"/>
      <c r="D18" s="43"/>
      <c r="E18" s="6"/>
      <c r="F18" s="6"/>
      <c r="G18" s="44"/>
      <c r="H18" s="8"/>
      <c r="I18" s="6"/>
      <c r="J18" s="6"/>
      <c r="K18" s="6"/>
      <c r="L18" s="6"/>
      <c r="M18" s="6"/>
      <c r="N18" s="41"/>
    </row>
    <row r="19" spans="2:14" s="107" customFormat="1" ht="22" customHeight="1">
      <c r="B19" s="113"/>
      <c r="C19" s="179" t="s">
        <v>101</v>
      </c>
      <c r="D19" s="186"/>
      <c r="E19" s="103"/>
      <c r="F19" s="103"/>
      <c r="G19" s="191"/>
      <c r="H19" s="103"/>
      <c r="I19" s="103"/>
      <c r="J19" s="103"/>
      <c r="K19" s="271" t="s">
        <v>102</v>
      </c>
      <c r="L19" s="271"/>
      <c r="M19" s="183"/>
      <c r="N19" s="184"/>
    </row>
    <row r="20" spans="2:14" s="107" customFormat="1" ht="22" customHeight="1">
      <c r="B20" s="113"/>
      <c r="C20" s="103" t="s">
        <v>103</v>
      </c>
      <c r="D20" s="31" t="s">
        <v>104</v>
      </c>
      <c r="E20" s="103"/>
      <c r="F20" s="103"/>
      <c r="G20" s="191">
        <f>1.4959*10^11</f>
        <v>149590000000</v>
      </c>
      <c r="H20" s="103" t="s">
        <v>54</v>
      </c>
      <c r="I20" s="103" t="s">
        <v>105</v>
      </c>
      <c r="J20" s="103"/>
      <c r="K20" s="192">
        <f>G20/E49/G9</f>
        <v>8.3163088334485948</v>
      </c>
      <c r="L20" s="103" t="s">
        <v>106</v>
      </c>
      <c r="M20" s="103"/>
      <c r="N20" s="184"/>
    </row>
    <row r="21" spans="2:14" s="107" customFormat="1" ht="22" customHeight="1">
      <c r="B21" s="113"/>
      <c r="C21" s="103" t="s">
        <v>107</v>
      </c>
      <c r="D21" s="31" t="s">
        <v>108</v>
      </c>
      <c r="E21" s="103"/>
      <c r="F21" s="103"/>
      <c r="G21" s="191">
        <f>G12*E49</f>
        <v>9460730472580800</v>
      </c>
      <c r="H21" s="103" t="s">
        <v>54</v>
      </c>
      <c r="I21" s="103" t="s">
        <v>109</v>
      </c>
      <c r="J21" s="103"/>
      <c r="K21" s="103"/>
      <c r="L21" s="103"/>
      <c r="M21" s="103"/>
      <c r="N21" s="184"/>
    </row>
    <row r="22" spans="2:14" s="107" customFormat="1" ht="22" customHeight="1">
      <c r="B22" s="113"/>
      <c r="C22" s="103" t="s">
        <v>110</v>
      </c>
      <c r="D22" s="31" t="s">
        <v>111</v>
      </c>
      <c r="E22" s="103"/>
      <c r="F22" s="103"/>
      <c r="G22" s="191">
        <f>G20/G17</f>
        <v>3.0855152366503144E+16</v>
      </c>
      <c r="H22" s="103" t="s">
        <v>54</v>
      </c>
      <c r="I22" s="103" t="s">
        <v>112</v>
      </c>
      <c r="J22" s="103"/>
      <c r="K22" s="192">
        <f>G22/G21</f>
        <v>3.2613921785350413</v>
      </c>
      <c r="L22" s="103" t="s">
        <v>108</v>
      </c>
      <c r="M22" s="103"/>
      <c r="N22" s="184"/>
    </row>
    <row r="23" spans="2:14">
      <c r="B23" s="1"/>
      <c r="C23" s="6"/>
      <c r="D23" s="106"/>
      <c r="E23" s="6"/>
      <c r="F23" s="6"/>
      <c r="G23" s="45"/>
      <c r="H23" s="6"/>
      <c r="I23" s="6"/>
      <c r="J23" s="6"/>
      <c r="K23" s="46"/>
      <c r="L23" s="6"/>
      <c r="M23" s="6"/>
      <c r="N23" s="41"/>
    </row>
    <row r="24" spans="2:14" s="107" customFormat="1" ht="22" customHeight="1">
      <c r="B24" s="113"/>
      <c r="C24" s="179" t="s">
        <v>113</v>
      </c>
      <c r="D24" s="186"/>
      <c r="E24" s="103"/>
      <c r="F24" s="103"/>
      <c r="G24" s="103"/>
      <c r="H24" s="103"/>
      <c r="I24" s="118"/>
      <c r="J24" s="103"/>
      <c r="K24" s="103"/>
      <c r="L24" s="103"/>
      <c r="M24" s="103"/>
      <c r="N24" s="184"/>
    </row>
    <row r="25" spans="2:14" s="107" customFormat="1" ht="22" customHeight="1">
      <c r="B25" s="113"/>
      <c r="C25" s="103" t="s">
        <v>114</v>
      </c>
      <c r="D25" s="31" t="s">
        <v>60</v>
      </c>
      <c r="E25" s="103">
        <v>1</v>
      </c>
      <c r="F25" s="103" t="s">
        <v>60</v>
      </c>
      <c r="G25" s="103">
        <v>1</v>
      </c>
      <c r="H25" s="103" t="s">
        <v>115</v>
      </c>
      <c r="I25" s="105" t="s">
        <v>116</v>
      </c>
      <c r="J25" s="103"/>
      <c r="K25" s="103"/>
      <c r="L25" s="103"/>
      <c r="M25" s="103"/>
      <c r="N25" s="184"/>
    </row>
    <row r="26" spans="2:14" s="107" customFormat="1" ht="22" customHeight="1">
      <c r="B26" s="113"/>
      <c r="C26" s="103" t="s">
        <v>117</v>
      </c>
      <c r="D26" s="31" t="s">
        <v>118</v>
      </c>
      <c r="E26" s="192">
        <v>9.8066499999999994</v>
      </c>
      <c r="F26" s="103" t="s">
        <v>119</v>
      </c>
      <c r="G26" s="193">
        <f>1000*E26</f>
        <v>9806.65</v>
      </c>
      <c r="H26" s="103" t="s">
        <v>115</v>
      </c>
      <c r="I26" s="103" t="s">
        <v>120</v>
      </c>
      <c r="J26" s="103"/>
      <c r="K26" s="103"/>
      <c r="L26" s="103"/>
      <c r="M26" s="103"/>
      <c r="N26" s="184"/>
    </row>
    <row r="27" spans="2:14" s="107" customFormat="1" ht="22" customHeight="1">
      <c r="B27" s="113"/>
      <c r="C27" s="194" t="s">
        <v>121</v>
      </c>
      <c r="D27" s="195" t="s">
        <v>122</v>
      </c>
      <c r="E27" s="194">
        <v>1</v>
      </c>
      <c r="F27" s="194" t="s">
        <v>123</v>
      </c>
      <c r="G27" s="103">
        <v>1</v>
      </c>
      <c r="H27" s="103" t="s">
        <v>124</v>
      </c>
      <c r="I27" s="105" t="s">
        <v>125</v>
      </c>
      <c r="J27" s="103"/>
      <c r="K27" s="103"/>
      <c r="L27" s="103"/>
      <c r="M27" s="103"/>
      <c r="N27" s="184"/>
    </row>
    <row r="28" spans="2:14" s="107" customFormat="1" ht="22" customHeight="1">
      <c r="B28" s="113"/>
      <c r="C28" s="194" t="s">
        <v>126</v>
      </c>
      <c r="D28" s="195" t="s">
        <v>127</v>
      </c>
      <c r="E28" s="194">
        <v>1</v>
      </c>
      <c r="F28" s="194" t="s">
        <v>128</v>
      </c>
      <c r="G28" s="118">
        <v>1</v>
      </c>
      <c r="H28" s="103" t="s">
        <v>129</v>
      </c>
      <c r="I28" s="103" t="s">
        <v>130</v>
      </c>
      <c r="J28" s="103"/>
      <c r="K28" s="103"/>
      <c r="L28" s="103"/>
      <c r="M28" s="103"/>
      <c r="N28" s="184"/>
    </row>
    <row r="29" spans="2:14" s="107" customFormat="1" ht="22" customHeight="1">
      <c r="B29" s="113"/>
      <c r="C29" s="176" t="s">
        <v>131</v>
      </c>
      <c r="D29" s="135" t="s">
        <v>132</v>
      </c>
      <c r="E29" s="176">
        <v>1</v>
      </c>
      <c r="F29" s="176" t="s">
        <v>133</v>
      </c>
      <c r="G29" s="118">
        <v>1</v>
      </c>
      <c r="H29" s="103" t="s">
        <v>134</v>
      </c>
      <c r="I29" s="103" t="s">
        <v>135</v>
      </c>
      <c r="J29" s="103"/>
      <c r="K29" s="103"/>
      <c r="L29" s="103"/>
      <c r="M29" s="103"/>
      <c r="N29" s="184"/>
    </row>
    <row r="30" spans="2:14" s="107" customFormat="1" ht="22" customHeight="1">
      <c r="B30" s="113"/>
      <c r="C30" s="176" t="s">
        <v>136</v>
      </c>
      <c r="D30" s="135" t="s">
        <v>137</v>
      </c>
      <c r="E30" s="196">
        <f>E26*10</f>
        <v>98.066499999999991</v>
      </c>
      <c r="F30" s="176" t="s">
        <v>138</v>
      </c>
      <c r="G30" s="193">
        <f>1000*E30</f>
        <v>98066.499999999985</v>
      </c>
      <c r="H30" s="103" t="s">
        <v>134</v>
      </c>
      <c r="I30" s="103" t="s">
        <v>139</v>
      </c>
      <c r="J30" s="103"/>
      <c r="K30" s="103"/>
      <c r="L30" s="103"/>
      <c r="M30" s="103"/>
      <c r="N30" s="184"/>
    </row>
    <row r="31" spans="2:14">
      <c r="B31" s="1"/>
      <c r="C31" s="8"/>
      <c r="D31" s="32"/>
      <c r="E31" s="48"/>
      <c r="F31" s="8"/>
      <c r="G31" s="47"/>
      <c r="H31" s="6"/>
      <c r="I31" s="6"/>
      <c r="J31" s="6"/>
      <c r="K31" s="6"/>
      <c r="L31" s="6"/>
      <c r="M31" s="6"/>
      <c r="N31" s="41"/>
    </row>
    <row r="32" spans="2:14" s="107" customFormat="1" ht="22" customHeight="1">
      <c r="B32" s="113"/>
      <c r="C32" s="225" t="s">
        <v>140</v>
      </c>
      <c r="D32" s="186"/>
      <c r="E32" s="197" t="s">
        <v>141</v>
      </c>
      <c r="F32" s="197"/>
      <c r="G32" s="103"/>
      <c r="H32" s="103"/>
      <c r="I32" s="103" t="s">
        <v>142</v>
      </c>
      <c r="J32" s="117"/>
      <c r="K32" s="103"/>
      <c r="L32" s="103"/>
      <c r="M32" s="103"/>
      <c r="N32" s="184"/>
    </row>
    <row r="33" spans="2:14" s="107" customFormat="1" ht="22" customHeight="1">
      <c r="B33" s="113"/>
      <c r="C33" s="176" t="s">
        <v>143</v>
      </c>
      <c r="D33" s="135" t="s">
        <v>38</v>
      </c>
      <c r="E33" s="176">
        <v>1</v>
      </c>
      <c r="F33" s="176" t="s">
        <v>38</v>
      </c>
      <c r="G33" s="103">
        <v>1</v>
      </c>
      <c r="H33" s="103" t="s">
        <v>144</v>
      </c>
      <c r="I33" s="103" t="s">
        <v>145</v>
      </c>
      <c r="J33" s="103"/>
      <c r="K33" s="103"/>
      <c r="L33" s="103"/>
      <c r="M33" s="103"/>
      <c r="N33" s="184"/>
    </row>
    <row r="34" spans="2:14" s="107" customFormat="1" ht="22" customHeight="1">
      <c r="B34" s="113"/>
      <c r="C34" s="176" t="s">
        <v>146</v>
      </c>
      <c r="D34" s="135" t="s">
        <v>147</v>
      </c>
      <c r="E34" s="176">
        <v>1</v>
      </c>
      <c r="F34" s="176" t="s">
        <v>148</v>
      </c>
      <c r="G34" s="103">
        <v>1</v>
      </c>
      <c r="H34" s="103" t="s">
        <v>149</v>
      </c>
      <c r="I34" s="103" t="s">
        <v>150</v>
      </c>
      <c r="J34" s="103"/>
      <c r="K34" s="103"/>
      <c r="L34" s="103"/>
      <c r="M34" s="103"/>
      <c r="N34" s="184"/>
    </row>
    <row r="35" spans="2:14" s="107" customFormat="1" ht="22" customHeight="1">
      <c r="B35" s="113"/>
      <c r="C35" s="198" t="s">
        <v>151</v>
      </c>
      <c r="D35" s="135" t="s">
        <v>147</v>
      </c>
      <c r="E35" s="176">
        <v>1</v>
      </c>
      <c r="F35" s="176" t="s">
        <v>152</v>
      </c>
      <c r="G35" s="103">
        <v>1</v>
      </c>
      <c r="H35" s="103" t="s">
        <v>149</v>
      </c>
      <c r="I35" s="103" t="s">
        <v>153</v>
      </c>
      <c r="J35" s="103"/>
      <c r="K35" s="103"/>
      <c r="L35" s="103"/>
      <c r="M35" s="103"/>
      <c r="N35" s="184"/>
    </row>
    <row r="36" spans="2:14" s="107" customFormat="1" ht="22" customHeight="1">
      <c r="B36" s="113"/>
      <c r="C36" s="194" t="s">
        <v>126</v>
      </c>
      <c r="D36" s="195" t="s">
        <v>127</v>
      </c>
      <c r="E36" s="194">
        <v>1</v>
      </c>
      <c r="F36" s="194" t="s">
        <v>154</v>
      </c>
      <c r="G36" s="103">
        <v>1</v>
      </c>
      <c r="H36" s="103" t="s">
        <v>129</v>
      </c>
      <c r="I36" s="103" t="s">
        <v>155</v>
      </c>
      <c r="J36" s="103"/>
      <c r="K36" s="103"/>
      <c r="L36" s="103"/>
      <c r="M36" s="103"/>
      <c r="N36" s="184"/>
    </row>
    <row r="37" spans="2:14" s="107" customFormat="1" ht="22" customHeight="1">
      <c r="B37" s="113"/>
      <c r="C37" s="194" t="s">
        <v>121</v>
      </c>
      <c r="D37" s="195" t="s">
        <v>122</v>
      </c>
      <c r="E37" s="194">
        <v>1</v>
      </c>
      <c r="F37" s="194" t="s">
        <v>156</v>
      </c>
      <c r="G37" s="103">
        <v>1</v>
      </c>
      <c r="H37" s="103" t="s">
        <v>124</v>
      </c>
      <c r="I37" s="103" t="s">
        <v>157</v>
      </c>
      <c r="J37" s="103"/>
      <c r="K37" s="103"/>
      <c r="L37" s="117"/>
      <c r="M37" s="117"/>
      <c r="N37" s="184"/>
    </row>
    <row r="38" spans="2:14" s="107" customFormat="1" ht="22" customHeight="1">
      <c r="B38" s="113"/>
      <c r="C38" s="103" t="s">
        <v>158</v>
      </c>
      <c r="D38" s="31" t="s">
        <v>159</v>
      </c>
      <c r="E38" s="185">
        <f>60*60</f>
        <v>3600</v>
      </c>
      <c r="F38" s="103" t="s">
        <v>160</v>
      </c>
      <c r="G38" s="185">
        <f>1000*E38</f>
        <v>3600000</v>
      </c>
      <c r="H38" s="103" t="s">
        <v>124</v>
      </c>
      <c r="I38" s="103" t="s">
        <v>161</v>
      </c>
      <c r="J38" s="117"/>
      <c r="K38" s="117"/>
      <c r="L38" s="117"/>
      <c r="M38" s="117"/>
      <c r="N38" s="184"/>
    </row>
    <row r="39" spans="2:14" s="107" customFormat="1" ht="22" customHeight="1">
      <c r="B39" s="113"/>
      <c r="C39" s="103" t="s">
        <v>162</v>
      </c>
      <c r="D39" s="31" t="s">
        <v>67</v>
      </c>
      <c r="E39" s="185">
        <v>1</v>
      </c>
      <c r="F39" s="103" t="s">
        <v>163</v>
      </c>
      <c r="G39" s="185">
        <v>1</v>
      </c>
      <c r="H39" s="103" t="s">
        <v>164</v>
      </c>
      <c r="I39" s="103" t="s">
        <v>165</v>
      </c>
      <c r="J39" s="103"/>
      <c r="K39" s="103"/>
      <c r="L39" s="103"/>
      <c r="M39" s="103"/>
      <c r="N39" s="184"/>
    </row>
    <row r="40" spans="2:14" s="107" customFormat="1" ht="22" customHeight="1">
      <c r="B40" s="113"/>
      <c r="C40" s="103" t="s">
        <v>166</v>
      </c>
      <c r="D40" s="31" t="s">
        <v>167</v>
      </c>
      <c r="E40" s="185">
        <v>1</v>
      </c>
      <c r="F40" s="103" t="s">
        <v>168</v>
      </c>
      <c r="G40" s="185">
        <v>1</v>
      </c>
      <c r="H40" s="103" t="s">
        <v>169</v>
      </c>
      <c r="I40" s="103" t="s">
        <v>170</v>
      </c>
      <c r="J40" s="103"/>
      <c r="K40" s="103"/>
      <c r="L40" s="103"/>
      <c r="M40" s="103"/>
      <c r="N40" s="184"/>
    </row>
    <row r="41" spans="2:14" s="107" customFormat="1" ht="22" customHeight="1">
      <c r="B41" s="113"/>
      <c r="C41" s="176" t="s">
        <v>171</v>
      </c>
      <c r="D41" s="31" t="s">
        <v>172</v>
      </c>
      <c r="E41" s="185">
        <v>1</v>
      </c>
      <c r="F41" s="176" t="s">
        <v>173</v>
      </c>
      <c r="G41" s="199">
        <v>1</v>
      </c>
      <c r="H41" s="103" t="s">
        <v>174</v>
      </c>
      <c r="I41" s="103" t="s">
        <v>175</v>
      </c>
      <c r="J41" s="103"/>
      <c r="K41" s="103"/>
      <c r="L41" s="103"/>
      <c r="M41" s="103"/>
      <c r="N41" s="184"/>
    </row>
    <row r="42" spans="2:14" s="107" customFormat="1" ht="22" customHeight="1">
      <c r="B42" s="113"/>
      <c r="C42" s="176" t="s">
        <v>176</v>
      </c>
      <c r="D42" s="31" t="s">
        <v>177</v>
      </c>
      <c r="E42" s="185">
        <v>1</v>
      </c>
      <c r="F42" s="176" t="s">
        <v>178</v>
      </c>
      <c r="G42" s="199">
        <v>1</v>
      </c>
      <c r="H42" s="103" t="s">
        <v>179</v>
      </c>
      <c r="I42" s="103" t="s">
        <v>180</v>
      </c>
      <c r="J42" s="103"/>
      <c r="K42" s="103"/>
      <c r="L42" s="103"/>
      <c r="M42" s="103"/>
      <c r="N42" s="184"/>
    </row>
    <row r="43" spans="2:14">
      <c r="B43" s="1"/>
      <c r="C43" s="5"/>
      <c r="D43" s="106"/>
      <c r="E43" s="6"/>
      <c r="F43" s="6"/>
      <c r="G43" s="6"/>
      <c r="H43" s="6"/>
      <c r="I43" s="5"/>
      <c r="J43" s="5"/>
      <c r="K43" s="5"/>
      <c r="L43" s="5"/>
      <c r="M43" s="5"/>
      <c r="N43" s="41"/>
    </row>
    <row r="44" spans="2:14" s="107" customFormat="1" ht="22" customHeight="1">
      <c r="B44" s="113"/>
      <c r="C44" s="179" t="s">
        <v>181</v>
      </c>
      <c r="D44" s="186"/>
      <c r="E44" s="103"/>
      <c r="F44" s="103"/>
      <c r="G44" s="103"/>
      <c r="H44" s="103"/>
      <c r="I44" s="105" t="s">
        <v>182</v>
      </c>
      <c r="J44" s="103"/>
      <c r="K44" s="103"/>
      <c r="L44" s="103"/>
      <c r="M44" s="103"/>
      <c r="N44" s="184"/>
    </row>
    <row r="45" spans="2:14" s="107" customFormat="1" ht="22" customHeight="1">
      <c r="B45" s="113"/>
      <c r="C45" s="103" t="s">
        <v>183</v>
      </c>
      <c r="D45" s="31" t="s">
        <v>184</v>
      </c>
      <c r="E45" s="191">
        <f>E50</f>
        <v>1.6021E-19</v>
      </c>
      <c r="F45" s="103" t="s">
        <v>122</v>
      </c>
      <c r="G45" s="191">
        <f>E45</f>
        <v>1.6021E-19</v>
      </c>
      <c r="H45" s="103" t="s">
        <v>124</v>
      </c>
      <c r="I45" s="103" t="s">
        <v>185</v>
      </c>
      <c r="J45" s="200"/>
      <c r="K45" s="103"/>
      <c r="L45" s="103"/>
      <c r="M45" s="103"/>
      <c r="N45" s="184"/>
    </row>
    <row r="46" spans="2:14" s="107" customFormat="1" ht="22" customHeight="1">
      <c r="B46" s="113"/>
      <c r="C46" s="118" t="s">
        <v>151</v>
      </c>
      <c r="D46" s="31" t="s">
        <v>184</v>
      </c>
      <c r="E46" s="103"/>
      <c r="F46" s="103"/>
      <c r="G46" s="191">
        <f>E45/E49^2</f>
        <v>1.7825766548035021E-36</v>
      </c>
      <c r="H46" s="103" t="s">
        <v>57</v>
      </c>
      <c r="I46" s="103" t="s">
        <v>186</v>
      </c>
      <c r="J46" s="200"/>
      <c r="K46" s="103"/>
      <c r="L46" s="103"/>
      <c r="M46" s="103"/>
      <c r="N46" s="184"/>
    </row>
    <row r="47" spans="2:14">
      <c r="B47" s="1"/>
      <c r="C47" s="5"/>
      <c r="D47" s="5"/>
      <c r="E47" s="5"/>
      <c r="F47" s="5"/>
      <c r="G47" s="5"/>
      <c r="H47" s="5"/>
      <c r="I47" s="5"/>
      <c r="J47" s="5"/>
      <c r="K47" s="5"/>
      <c r="L47" s="5"/>
      <c r="M47" s="5"/>
      <c r="N47" s="41"/>
    </row>
    <row r="48" spans="2:14">
      <c r="B48" s="1"/>
      <c r="C48" s="49" t="s">
        <v>187</v>
      </c>
      <c r="D48" s="209"/>
      <c r="E48" s="50"/>
      <c r="F48" s="50"/>
      <c r="G48" s="51"/>
      <c r="H48" s="209"/>
      <c r="I48" s="209"/>
      <c r="J48" s="51"/>
      <c r="K48" s="51"/>
      <c r="L48" s="51"/>
      <c r="M48" s="51"/>
      <c r="N48" s="41"/>
    </row>
    <row r="49" spans="2:14">
      <c r="B49" s="1"/>
      <c r="C49" s="52" t="s">
        <v>33</v>
      </c>
      <c r="D49" s="209"/>
      <c r="E49" s="226">
        <f>2.99792458*10^8</f>
        <v>299792458</v>
      </c>
      <c r="F49" s="53" t="s">
        <v>35</v>
      </c>
      <c r="G49" s="209"/>
      <c r="H49" s="209"/>
      <c r="I49" s="209"/>
      <c r="J49" s="51"/>
      <c r="K49" s="51"/>
      <c r="L49" s="51"/>
      <c r="M49" s="51"/>
      <c r="N49" s="41"/>
    </row>
    <row r="50" spans="2:14">
      <c r="B50" s="1"/>
      <c r="C50" s="52" t="s">
        <v>37</v>
      </c>
      <c r="D50" s="209"/>
      <c r="E50" s="210">
        <f>1.6021*10^-19</f>
        <v>1.6021E-19</v>
      </c>
      <c r="F50" s="211" t="s">
        <v>38</v>
      </c>
      <c r="G50" s="209"/>
      <c r="H50" s="209"/>
      <c r="I50" s="209"/>
      <c r="J50" s="51"/>
      <c r="K50" s="51"/>
      <c r="L50" s="51"/>
      <c r="M50" s="51"/>
      <c r="N50" s="41"/>
    </row>
    <row r="51" spans="2:14">
      <c r="B51" s="38"/>
      <c r="C51" s="215"/>
      <c r="D51" s="215"/>
      <c r="E51" s="215"/>
      <c r="F51" s="215"/>
      <c r="G51" s="215"/>
      <c r="H51" s="215"/>
      <c r="I51" s="215"/>
      <c r="J51" s="215"/>
      <c r="K51" s="215"/>
      <c r="L51" s="215"/>
      <c r="M51" s="215"/>
      <c r="N51" s="216"/>
    </row>
  </sheetData>
  <mergeCells count="4">
    <mergeCell ref="E6:F6"/>
    <mergeCell ref="G6:H6"/>
    <mergeCell ref="K19:L19"/>
    <mergeCell ref="C4:M4"/>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showRuler="0" workbookViewId="0"/>
  </sheetViews>
  <sheetFormatPr baseColWidth="10" defaultRowHeight="15" x14ac:dyDescent="0"/>
  <cols>
    <col min="1" max="1" width="3.5" customWidth="1"/>
    <col min="2" max="2" width="1.83203125" customWidth="1"/>
    <col min="3" max="3" width="12" customWidth="1"/>
    <col min="4" max="4" width="11.6640625" customWidth="1"/>
    <col min="5" max="5" width="12" customWidth="1"/>
    <col min="7" max="7" width="11.83203125" customWidth="1"/>
    <col min="9" max="9" width="15.6640625" customWidth="1"/>
    <col min="10" max="10" width="1.6640625" customWidth="1"/>
  </cols>
  <sheetData>
    <row r="1" spans="2:10" ht="37" customHeight="1">
      <c r="B1" s="244" t="s">
        <v>0</v>
      </c>
      <c r="C1" s="243"/>
      <c r="D1" s="243"/>
      <c r="E1" s="243"/>
      <c r="F1" s="243"/>
      <c r="G1" s="243"/>
      <c r="H1" s="243"/>
      <c r="I1" s="243"/>
      <c r="J1" s="243"/>
    </row>
    <row r="2" spans="2:10">
      <c r="B2" s="245"/>
      <c r="C2" s="246"/>
      <c r="D2" s="247"/>
      <c r="E2" s="246"/>
      <c r="F2" s="246"/>
      <c r="G2" s="248"/>
      <c r="H2" s="249"/>
      <c r="I2" s="246"/>
      <c r="J2" s="242"/>
    </row>
    <row r="3" spans="2:10" ht="34" customHeight="1">
      <c r="B3" s="214"/>
      <c r="C3" s="283" t="s">
        <v>613</v>
      </c>
      <c r="D3" s="283"/>
      <c r="E3" s="283"/>
      <c r="F3" s="283"/>
      <c r="G3" s="283"/>
      <c r="H3" s="283"/>
      <c r="I3" s="283"/>
      <c r="J3" s="3"/>
    </row>
    <row r="4" spans="2:10">
      <c r="B4" s="212"/>
      <c r="C4" s="9"/>
      <c r="D4" s="10"/>
      <c r="E4" s="126" t="s">
        <v>1</v>
      </c>
      <c r="F4" s="126" t="s">
        <v>2</v>
      </c>
      <c r="G4" s="6"/>
      <c r="H4" s="5"/>
      <c r="I4" s="5"/>
      <c r="J4" s="3"/>
    </row>
    <row r="5" spans="2:10" s="107" customFormat="1" ht="22" customHeight="1">
      <c r="B5" s="25"/>
      <c r="C5" s="103" t="s">
        <v>3</v>
      </c>
      <c r="D5" s="117"/>
      <c r="E5" s="31" t="s">
        <v>4</v>
      </c>
      <c r="F5" s="172">
        <f>EXP(1)</f>
        <v>2.7182818284590451</v>
      </c>
      <c r="G5" s="31"/>
      <c r="H5" s="117"/>
      <c r="I5" s="117"/>
      <c r="J5" s="116"/>
    </row>
    <row r="6" spans="2:10" s="107" customFormat="1" ht="22" customHeight="1">
      <c r="B6" s="25"/>
      <c r="C6" s="103" t="s">
        <v>5</v>
      </c>
      <c r="D6" s="117"/>
      <c r="E6" s="31" t="s">
        <v>6</v>
      </c>
      <c r="F6" s="136" t="s">
        <v>7</v>
      </c>
      <c r="G6" s="31"/>
      <c r="H6" s="117"/>
      <c r="I6" s="117"/>
      <c r="J6" s="116"/>
    </row>
    <row r="7" spans="2:10" s="107" customFormat="1" ht="22" customHeight="1">
      <c r="B7" s="25"/>
      <c r="C7" s="103" t="s">
        <v>8</v>
      </c>
      <c r="D7" s="103"/>
      <c r="E7" s="31" t="s">
        <v>9</v>
      </c>
      <c r="F7" s="172">
        <f>PI()</f>
        <v>3.1415926535897931</v>
      </c>
      <c r="G7" s="31"/>
      <c r="H7" s="117"/>
      <c r="I7" s="117"/>
      <c r="J7" s="116"/>
    </row>
    <row r="8" spans="2:10">
      <c r="B8" s="14"/>
      <c r="C8" s="6"/>
      <c r="D8" s="6"/>
      <c r="E8" s="12"/>
      <c r="F8" s="11"/>
      <c r="G8" s="106"/>
      <c r="H8" s="6"/>
      <c r="I8" s="5"/>
      <c r="J8" s="3"/>
    </row>
    <row r="9" spans="2:10">
      <c r="B9" s="14"/>
      <c r="C9" s="6"/>
      <c r="D9" s="273" t="s">
        <v>10</v>
      </c>
      <c r="E9" s="274"/>
      <c r="F9" s="274"/>
      <c r="G9" s="275"/>
      <c r="H9" s="5"/>
      <c r="I9" s="5"/>
      <c r="J9" s="3"/>
    </row>
    <row r="10" spans="2:10">
      <c r="B10" s="14"/>
      <c r="C10" s="6"/>
      <c r="D10" s="13" t="s">
        <v>11</v>
      </c>
      <c r="E10" s="106"/>
      <c r="F10" s="42" t="s">
        <v>12</v>
      </c>
      <c r="G10" s="269" t="s">
        <v>13</v>
      </c>
      <c r="H10" s="5"/>
      <c r="I10" s="5"/>
      <c r="J10" s="3"/>
    </row>
    <row r="11" spans="2:10">
      <c r="B11" s="14"/>
      <c r="C11" s="6"/>
      <c r="D11" s="14" t="s">
        <v>14</v>
      </c>
      <c r="E11" s="106"/>
      <c r="F11" s="15">
        <v>1</v>
      </c>
      <c r="G11" s="16">
        <f t="shared" ref="G11:G18" si="0">(1+1/F11)^F11</f>
        <v>2</v>
      </c>
      <c r="H11" s="5"/>
      <c r="I11" s="5"/>
      <c r="J11" s="3"/>
    </row>
    <row r="12" spans="2:10">
      <c r="B12" s="14"/>
      <c r="C12" s="6"/>
      <c r="D12" s="14" t="s">
        <v>15</v>
      </c>
      <c r="E12" s="106"/>
      <c r="F12" s="15">
        <v>4</v>
      </c>
      <c r="G12" s="17">
        <f t="shared" si="0"/>
        <v>2.44140625</v>
      </c>
      <c r="H12" s="5"/>
      <c r="I12" s="5"/>
      <c r="J12" s="3"/>
    </row>
    <row r="13" spans="2:10">
      <c r="B13" s="14"/>
      <c r="C13" s="6"/>
      <c r="D13" s="14" t="s">
        <v>16</v>
      </c>
      <c r="E13" s="6"/>
      <c r="F13" s="6">
        <v>12</v>
      </c>
      <c r="G13" s="18">
        <f t="shared" si="0"/>
        <v>2.6130352902246763</v>
      </c>
      <c r="H13" s="5"/>
      <c r="I13" s="5"/>
      <c r="J13" s="3"/>
    </row>
    <row r="14" spans="2:10">
      <c r="B14" s="14"/>
      <c r="C14" s="6"/>
      <c r="D14" s="14" t="s">
        <v>17</v>
      </c>
      <c r="E14" s="6"/>
      <c r="F14" s="15">
        <v>52</v>
      </c>
      <c r="G14" s="19">
        <f t="shared" si="0"/>
        <v>2.6925969544371693</v>
      </c>
      <c r="H14" s="5"/>
      <c r="I14" s="5"/>
      <c r="J14" s="3"/>
    </row>
    <row r="15" spans="2:10">
      <c r="B15" s="14"/>
      <c r="C15" s="6"/>
      <c r="D15" s="14" t="s">
        <v>18</v>
      </c>
      <c r="E15" s="6"/>
      <c r="F15" s="15">
        <v>365</v>
      </c>
      <c r="G15" s="227">
        <f t="shared" si="0"/>
        <v>2.7145674820220145</v>
      </c>
      <c r="H15" s="5"/>
      <c r="I15" s="5"/>
      <c r="J15" s="3"/>
    </row>
    <row r="16" spans="2:10">
      <c r="B16" s="14"/>
      <c r="C16" s="6"/>
      <c r="D16" s="14" t="s">
        <v>19</v>
      </c>
      <c r="E16" s="6"/>
      <c r="F16" s="15">
        <f>24*F15</f>
        <v>8760</v>
      </c>
      <c r="G16" s="20">
        <f t="shared" si="0"/>
        <v>2.71812669161742</v>
      </c>
      <c r="H16" s="5"/>
      <c r="I16" s="5"/>
      <c r="J16" s="3"/>
    </row>
    <row r="17" spans="2:10">
      <c r="B17" s="14"/>
      <c r="C17" s="6"/>
      <c r="D17" s="14" t="s">
        <v>20</v>
      </c>
      <c r="E17" s="6"/>
      <c r="F17" s="15">
        <f>60*F16</f>
        <v>525600</v>
      </c>
      <c r="G17" s="228">
        <f t="shared" si="0"/>
        <v>2.7182792425887077</v>
      </c>
      <c r="H17" s="5"/>
      <c r="I17" s="5"/>
      <c r="J17" s="3"/>
    </row>
    <row r="18" spans="2:10">
      <c r="B18" s="14"/>
      <c r="C18" s="6"/>
      <c r="D18" s="14" t="s">
        <v>21</v>
      </c>
      <c r="E18" s="6"/>
      <c r="F18" s="15">
        <f>60*F17</f>
        <v>31536000</v>
      </c>
      <c r="G18" s="21">
        <f t="shared" si="0"/>
        <v>2.7182817813024576</v>
      </c>
      <c r="H18" s="5"/>
      <c r="I18" s="5"/>
      <c r="J18" s="3"/>
    </row>
    <row r="19" spans="2:10">
      <c r="B19" s="14"/>
      <c r="C19" s="6"/>
      <c r="D19" s="4"/>
      <c r="E19" s="168" t="s">
        <v>22</v>
      </c>
      <c r="F19" s="169" t="s">
        <v>23</v>
      </c>
      <c r="G19" s="170" t="s">
        <v>24</v>
      </c>
      <c r="H19" s="5"/>
      <c r="I19" s="5"/>
      <c r="J19" s="3"/>
    </row>
    <row r="20" spans="2:10">
      <c r="B20" s="14"/>
      <c r="C20" s="6"/>
      <c r="D20" s="22" t="s">
        <v>25</v>
      </c>
      <c r="E20" s="6"/>
      <c r="F20" s="6"/>
      <c r="G20" s="23"/>
      <c r="H20" s="5"/>
      <c r="I20" s="5"/>
      <c r="J20" s="3"/>
    </row>
    <row r="21" spans="2:10">
      <c r="B21" s="14"/>
      <c r="C21" s="6"/>
      <c r="D21" s="14" t="s">
        <v>26</v>
      </c>
      <c r="E21" s="6"/>
      <c r="F21" s="6"/>
      <c r="G21" s="23"/>
      <c r="H21" s="5"/>
      <c r="I21" s="5"/>
      <c r="J21" s="3"/>
    </row>
    <row r="22" spans="2:10">
      <c r="B22" s="14"/>
      <c r="C22" s="6"/>
      <c r="D22" s="14" t="s">
        <v>27</v>
      </c>
      <c r="E22" s="103"/>
      <c r="F22" s="103"/>
      <c r="G22" s="24"/>
      <c r="H22" s="5"/>
      <c r="I22" s="5"/>
      <c r="J22" s="3"/>
    </row>
    <row r="23" spans="2:10">
      <c r="B23" s="14"/>
      <c r="C23" s="6"/>
      <c r="D23" s="25" t="s">
        <v>28</v>
      </c>
      <c r="E23" s="103"/>
      <c r="F23" s="103"/>
      <c r="G23" s="24"/>
      <c r="H23" s="5"/>
      <c r="I23" s="5"/>
      <c r="J23" s="3"/>
    </row>
    <row r="24" spans="2:10">
      <c r="B24" s="14"/>
      <c r="C24" s="6"/>
      <c r="D24" s="26" t="s">
        <v>29</v>
      </c>
      <c r="E24" s="103"/>
      <c r="F24" s="103"/>
      <c r="G24" s="24"/>
      <c r="H24" s="5"/>
      <c r="I24" s="5"/>
      <c r="J24" s="3"/>
    </row>
    <row r="25" spans="2:10">
      <c r="B25" s="14"/>
      <c r="C25" s="6"/>
      <c r="D25" s="27" t="s">
        <v>30</v>
      </c>
      <c r="E25" s="28"/>
      <c r="F25" s="28"/>
      <c r="G25" s="29"/>
      <c r="H25" s="5"/>
      <c r="I25" s="5"/>
      <c r="J25" s="3"/>
    </row>
    <row r="26" spans="2:10">
      <c r="B26" s="14"/>
      <c r="C26" s="6"/>
      <c r="D26" s="30"/>
      <c r="E26" s="6"/>
      <c r="F26" s="6"/>
      <c r="G26" s="6"/>
      <c r="H26" s="5"/>
      <c r="I26" s="5"/>
      <c r="J26" s="3"/>
    </row>
    <row r="27" spans="2:10" ht="29" customHeight="1">
      <c r="B27" s="14"/>
      <c r="C27" s="6"/>
      <c r="D27" s="6"/>
      <c r="E27" s="12"/>
      <c r="F27" s="11"/>
      <c r="G27" s="106"/>
      <c r="H27" s="6"/>
      <c r="I27" s="5"/>
      <c r="J27" s="3"/>
    </row>
    <row r="28" spans="2:10" ht="40" customHeight="1">
      <c r="B28" s="214"/>
      <c r="C28" s="284" t="s">
        <v>614</v>
      </c>
      <c r="D28" s="284"/>
      <c r="E28" s="284"/>
      <c r="F28" s="284"/>
      <c r="G28" s="284"/>
      <c r="H28" s="284"/>
      <c r="I28" s="284"/>
      <c r="J28" s="3"/>
    </row>
    <row r="29" spans="2:10">
      <c r="B29" s="212"/>
      <c r="C29" s="9"/>
      <c r="D29" s="8"/>
      <c r="E29" s="126" t="s">
        <v>1</v>
      </c>
      <c r="F29" s="126" t="s">
        <v>2</v>
      </c>
      <c r="G29" s="126" t="s">
        <v>31</v>
      </c>
      <c r="H29" s="7" t="s">
        <v>32</v>
      </c>
      <c r="I29" s="5"/>
      <c r="J29" s="3"/>
    </row>
    <row r="30" spans="2:10" s="107" customFormat="1" ht="22" customHeight="1">
      <c r="B30" s="25"/>
      <c r="C30" s="103" t="s">
        <v>46</v>
      </c>
      <c r="D30" s="103"/>
      <c r="E30" s="31" t="s">
        <v>47</v>
      </c>
      <c r="F30" s="174">
        <f>6.6742*10^-11</f>
        <v>6.6741999999999998E-11</v>
      </c>
      <c r="G30" s="31" t="s">
        <v>48</v>
      </c>
      <c r="H30" s="31"/>
      <c r="I30" s="103"/>
      <c r="J30" s="116"/>
    </row>
    <row r="31" spans="2:10" s="107" customFormat="1" ht="22" customHeight="1">
      <c r="B31" s="25"/>
      <c r="C31" s="103" t="s">
        <v>33</v>
      </c>
      <c r="D31" s="103"/>
      <c r="E31" s="31" t="s">
        <v>34</v>
      </c>
      <c r="F31" s="173">
        <f>2.99792458*10^8</f>
        <v>299792458</v>
      </c>
      <c r="G31" s="31" t="s">
        <v>35</v>
      </c>
      <c r="H31" s="103" t="s">
        <v>36</v>
      </c>
      <c r="I31" s="117"/>
      <c r="J31" s="116"/>
    </row>
    <row r="32" spans="2:10" s="107" customFormat="1" ht="22" customHeight="1">
      <c r="B32" s="25"/>
      <c r="C32" s="103" t="s">
        <v>40</v>
      </c>
      <c r="D32" s="103"/>
      <c r="E32" s="31" t="s">
        <v>41</v>
      </c>
      <c r="F32" s="174">
        <f>6.626*10^-34</f>
        <v>6.6260000000000015E-34</v>
      </c>
      <c r="G32" s="31" t="s">
        <v>42</v>
      </c>
      <c r="H32" s="31"/>
      <c r="I32" s="103"/>
      <c r="J32" s="116"/>
    </row>
    <row r="33" spans="2:10" s="107" customFormat="1" ht="22" customHeight="1">
      <c r="B33" s="25"/>
      <c r="C33" s="103" t="s">
        <v>73</v>
      </c>
      <c r="D33" s="103"/>
      <c r="E33" s="31" t="s">
        <v>74</v>
      </c>
      <c r="F33" s="139">
        <f>1.256637*10^-6</f>
        <v>1.2566369999999999E-6</v>
      </c>
      <c r="G33" s="31" t="s">
        <v>75</v>
      </c>
      <c r="H33" s="103" t="s">
        <v>601</v>
      </c>
      <c r="I33" s="117"/>
      <c r="J33" s="116"/>
    </row>
    <row r="34" spans="2:10" s="107" customFormat="1" ht="22" customHeight="1">
      <c r="B34" s="25"/>
      <c r="C34" s="103" t="s">
        <v>37</v>
      </c>
      <c r="D34" s="103"/>
      <c r="E34" s="31" t="s">
        <v>4</v>
      </c>
      <c r="F34" s="174">
        <f>1.6021*10^-19</f>
        <v>1.6021E-19</v>
      </c>
      <c r="G34" s="31" t="s">
        <v>38</v>
      </c>
      <c r="H34" s="103" t="s">
        <v>39</v>
      </c>
      <c r="I34" s="117"/>
      <c r="J34" s="116"/>
    </row>
    <row r="35" spans="2:10" s="107" customFormat="1" ht="22" customHeight="1">
      <c r="B35" s="25"/>
      <c r="C35" s="103" t="s">
        <v>602</v>
      </c>
      <c r="D35" s="119"/>
      <c r="E35" s="31" t="s">
        <v>76</v>
      </c>
      <c r="F35" s="178">
        <f>9.109382*10^-31</f>
        <v>9.1093820000000002E-31</v>
      </c>
      <c r="G35" s="31" t="s">
        <v>57</v>
      </c>
      <c r="H35" s="117"/>
      <c r="I35" s="117"/>
      <c r="J35" s="116"/>
    </row>
    <row r="36" spans="2:10" s="107" customFormat="1" ht="22" customHeight="1">
      <c r="B36" s="25"/>
      <c r="C36" s="103" t="s">
        <v>49</v>
      </c>
      <c r="D36" s="103"/>
      <c r="E36" s="31" t="s">
        <v>50</v>
      </c>
      <c r="F36" s="174">
        <f>6.022*10^23</f>
        <v>6.0219999999999996E+23</v>
      </c>
      <c r="G36" s="31" t="s">
        <v>51</v>
      </c>
      <c r="H36" s="31"/>
      <c r="I36" s="103"/>
      <c r="J36" s="116"/>
    </row>
    <row r="37" spans="2:10" ht="32" customHeight="1">
      <c r="B37" s="4"/>
      <c r="C37" s="5"/>
      <c r="D37" s="5"/>
      <c r="E37" s="6"/>
      <c r="F37" s="6"/>
      <c r="G37" s="6"/>
      <c r="H37" s="5"/>
      <c r="I37" s="5"/>
      <c r="J37" s="3"/>
    </row>
    <row r="38" spans="2:10" ht="37" customHeight="1">
      <c r="B38" s="214"/>
      <c r="C38" s="285" t="s">
        <v>615</v>
      </c>
      <c r="D38" s="285"/>
      <c r="E38" s="285"/>
      <c r="F38" s="285"/>
      <c r="G38" s="285"/>
      <c r="H38" s="285"/>
      <c r="I38" s="285"/>
      <c r="J38" s="3"/>
    </row>
    <row r="39" spans="2:10" s="234" customFormat="1" ht="22" customHeight="1">
      <c r="B39" s="25"/>
      <c r="C39" s="103" t="s">
        <v>43</v>
      </c>
      <c r="D39" s="103"/>
      <c r="E39" s="31" t="s">
        <v>44</v>
      </c>
      <c r="F39" s="175">
        <f>F32/(2*F7)</f>
        <v>1.0545606529268989E-34</v>
      </c>
      <c r="G39" s="31" t="s">
        <v>42</v>
      </c>
      <c r="H39" s="103" t="s">
        <v>45</v>
      </c>
      <c r="I39" s="103"/>
      <c r="J39" s="233"/>
    </row>
    <row r="40" spans="2:10" s="107" customFormat="1" ht="22" customHeight="1">
      <c r="B40" s="213"/>
      <c r="C40" s="176" t="s">
        <v>52</v>
      </c>
      <c r="D40" s="176"/>
      <c r="E40" s="31" t="s">
        <v>53</v>
      </c>
      <c r="F40" s="177">
        <f>(F39*F30/F31^3)^0.5</f>
        <v>1.6162343607498255E-35</v>
      </c>
      <c r="G40" s="135" t="s">
        <v>54</v>
      </c>
      <c r="H40" s="282" t="s">
        <v>604</v>
      </c>
      <c r="I40" s="282"/>
      <c r="J40" s="116"/>
    </row>
    <row r="41" spans="2:10" s="107" customFormat="1" ht="22" customHeight="1">
      <c r="B41" s="25"/>
      <c r="C41" s="103" t="s">
        <v>66</v>
      </c>
      <c r="D41" s="103"/>
      <c r="E41" s="31" t="s">
        <v>67</v>
      </c>
      <c r="F41" s="174">
        <f>F36*F34</f>
        <v>96478.462</v>
      </c>
      <c r="G41" s="31" t="s">
        <v>68</v>
      </c>
      <c r="H41" s="103" t="s">
        <v>69</v>
      </c>
      <c r="I41" s="103"/>
      <c r="J41" s="116"/>
    </row>
    <row r="42" spans="2:10" s="107" customFormat="1" ht="22" customHeight="1">
      <c r="B42" s="25"/>
      <c r="C42" s="103" t="s">
        <v>70</v>
      </c>
      <c r="D42" s="103"/>
      <c r="E42" s="31" t="s">
        <v>71</v>
      </c>
      <c r="F42" s="137">
        <f>1/F33/F31^2</f>
        <v>8.8541882504941254E-12</v>
      </c>
      <c r="G42" s="31" t="s">
        <v>72</v>
      </c>
      <c r="H42" s="282" t="s">
        <v>605</v>
      </c>
      <c r="I42" s="282"/>
      <c r="J42" s="116"/>
    </row>
    <row r="43" spans="2:10" s="107" customFormat="1" ht="22" customHeight="1">
      <c r="B43" s="171"/>
      <c r="C43" s="117" t="s">
        <v>603</v>
      </c>
      <c r="D43" s="119"/>
      <c r="E43" s="31" t="s">
        <v>77</v>
      </c>
      <c r="F43" s="178">
        <f>1.672621*10^-27</f>
        <v>1.6726209999999999E-27</v>
      </c>
      <c r="G43" s="31" t="s">
        <v>57</v>
      </c>
      <c r="H43" s="117" t="s">
        <v>606</v>
      </c>
      <c r="I43" s="117"/>
      <c r="J43" s="116"/>
    </row>
    <row r="44" spans="2:10" s="107" customFormat="1" ht="14" customHeight="1">
      <c r="B44" s="171"/>
      <c r="C44" s="117"/>
      <c r="D44" s="119"/>
      <c r="E44" s="31"/>
      <c r="F44" s="178"/>
      <c r="G44" s="31"/>
      <c r="H44" s="117"/>
      <c r="I44" s="117"/>
      <c r="J44" s="116"/>
    </row>
    <row r="45" spans="2:10">
      <c r="B45" s="4"/>
      <c r="C45" s="5"/>
      <c r="D45" s="276" t="s">
        <v>55</v>
      </c>
      <c r="E45" s="277"/>
      <c r="F45" s="277"/>
      <c r="G45" s="278"/>
      <c r="H45" s="5"/>
      <c r="I45" s="5"/>
      <c r="J45" s="3"/>
    </row>
    <row r="46" spans="2:10">
      <c r="B46" s="4"/>
      <c r="C46" s="5"/>
      <c r="D46" s="279"/>
      <c r="E46" s="280"/>
      <c r="F46" s="280"/>
      <c r="G46" s="281"/>
      <c r="H46" s="5"/>
      <c r="I46" s="5"/>
      <c r="J46" s="3"/>
    </row>
    <row r="47" spans="2:10">
      <c r="B47" s="4"/>
      <c r="C47" s="5"/>
      <c r="D47" s="231" t="s">
        <v>56</v>
      </c>
      <c r="E47" s="5"/>
      <c r="F47" s="33">
        <f>5.97*10^24</f>
        <v>5.9699999999999992E+24</v>
      </c>
      <c r="G47" s="34" t="s">
        <v>57</v>
      </c>
      <c r="H47" s="5"/>
      <c r="I47" s="5"/>
      <c r="J47" s="3"/>
    </row>
    <row r="48" spans="2:10">
      <c r="B48" s="4"/>
      <c r="C48" s="5"/>
      <c r="D48" s="231" t="s">
        <v>58</v>
      </c>
      <c r="E48" s="5"/>
      <c r="F48" s="35">
        <f>6370*10^3</f>
        <v>6370000</v>
      </c>
      <c r="G48" s="34" t="s">
        <v>54</v>
      </c>
      <c r="H48" s="5"/>
      <c r="I48" s="5"/>
      <c r="J48" s="3"/>
    </row>
    <row r="49" spans="2:10">
      <c r="B49" s="4"/>
      <c r="C49" s="5"/>
      <c r="D49" s="231" t="s">
        <v>59</v>
      </c>
      <c r="E49" s="6"/>
      <c r="F49" s="36">
        <f>F30*1*F47/F48^2</f>
        <v>9.8196200301156562</v>
      </c>
      <c r="G49" s="34" t="s">
        <v>60</v>
      </c>
      <c r="H49" s="5"/>
      <c r="I49" s="5"/>
      <c r="J49" s="3"/>
    </row>
    <row r="50" spans="2:10">
      <c r="B50" s="4"/>
      <c r="C50" s="5"/>
      <c r="D50" s="230" t="s">
        <v>61</v>
      </c>
      <c r="E50" s="28"/>
      <c r="F50" s="229">
        <f>F49/1</f>
        <v>9.8196200301156562</v>
      </c>
      <c r="G50" s="232" t="s">
        <v>600</v>
      </c>
      <c r="H50" s="5"/>
      <c r="I50" s="5"/>
      <c r="J50" s="3"/>
    </row>
    <row r="51" spans="2:10" ht="7" customHeight="1">
      <c r="B51" s="38"/>
      <c r="C51" s="39"/>
      <c r="D51" s="39"/>
      <c r="E51" s="39"/>
      <c r="F51" s="39"/>
      <c r="G51" s="39"/>
      <c r="H51" s="39"/>
      <c r="I51" s="39"/>
      <c r="J51" s="40"/>
    </row>
  </sheetData>
  <mergeCells count="7">
    <mergeCell ref="D9:G9"/>
    <mergeCell ref="D45:G46"/>
    <mergeCell ref="H40:I40"/>
    <mergeCell ref="H42:I42"/>
    <mergeCell ref="C3:I3"/>
    <mergeCell ref="C28:I28"/>
    <mergeCell ref="C38:I38"/>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9"/>
  <sheetViews>
    <sheetView showGridLines="0" showRuler="0" workbookViewId="0"/>
  </sheetViews>
  <sheetFormatPr baseColWidth="10" defaultRowHeight="15" x14ac:dyDescent="0"/>
  <cols>
    <col min="1" max="1" width="3.83203125" customWidth="1"/>
    <col min="2" max="2" width="1.5" customWidth="1"/>
    <col min="3" max="3" width="7" customWidth="1"/>
    <col min="4" max="4" width="13" customWidth="1"/>
    <col min="5" max="5" width="10.1640625" customWidth="1"/>
    <col min="6" max="6" width="13.33203125" customWidth="1"/>
    <col min="7" max="7" width="2.1640625" customWidth="1"/>
    <col min="10" max="10" width="14.6640625" customWidth="1"/>
    <col min="14" max="14" width="9.5" customWidth="1"/>
    <col min="15" max="15" width="8.6640625" customWidth="1"/>
    <col min="16" max="16" width="1.5" customWidth="1"/>
  </cols>
  <sheetData>
    <row r="1" spans="2:16" ht="40" customHeight="1">
      <c r="B1" s="251" t="s">
        <v>616</v>
      </c>
      <c r="C1" s="251"/>
      <c r="D1" s="251"/>
      <c r="E1" s="251"/>
      <c r="F1" s="251"/>
      <c r="G1" s="251"/>
      <c r="H1" s="251"/>
      <c r="I1" s="251"/>
      <c r="J1" s="251"/>
      <c r="K1" s="251"/>
      <c r="L1" s="251"/>
      <c r="M1" s="251"/>
      <c r="N1" s="251"/>
      <c r="O1" s="251"/>
      <c r="P1" s="251"/>
    </row>
    <row r="2" spans="2:16">
      <c r="B2" s="1"/>
      <c r="C2" s="54"/>
      <c r="D2" s="55"/>
      <c r="E2" s="55"/>
      <c r="F2" s="54"/>
      <c r="G2" s="54"/>
      <c r="H2" s="54"/>
      <c r="I2" s="54"/>
      <c r="J2" s="54"/>
      <c r="K2" s="54"/>
      <c r="L2" s="54"/>
      <c r="M2" s="54"/>
      <c r="N2" s="2"/>
      <c r="O2" s="2"/>
      <c r="P2" s="3"/>
    </row>
    <row r="3" spans="2:16" s="107" customFormat="1" ht="22" customHeight="1">
      <c r="B3" s="113"/>
      <c r="C3" s="166" t="s">
        <v>188</v>
      </c>
      <c r="D3" s="117"/>
      <c r="E3" s="252" t="s">
        <v>189</v>
      </c>
      <c r="F3" s="253"/>
      <c r="G3" s="117"/>
      <c r="H3" s="166" t="s">
        <v>32</v>
      </c>
      <c r="J3" s="117"/>
      <c r="K3" s="115"/>
      <c r="L3" s="167" t="s">
        <v>190</v>
      </c>
      <c r="M3" s="117"/>
      <c r="N3" s="122" t="s">
        <v>78</v>
      </c>
      <c r="P3" s="116"/>
    </row>
    <row r="4" spans="2:16" s="107" customFormat="1" ht="22" customHeight="1">
      <c r="B4" s="113"/>
      <c r="C4" s="103" t="s">
        <v>191</v>
      </c>
      <c r="D4" s="117"/>
      <c r="E4" s="254" t="s">
        <v>192</v>
      </c>
      <c r="F4" s="254"/>
      <c r="G4" s="103"/>
      <c r="H4" s="103" t="s">
        <v>193</v>
      </c>
      <c r="J4" s="117"/>
      <c r="K4" s="118" t="s">
        <v>194</v>
      </c>
      <c r="L4" s="103" t="s">
        <v>195</v>
      </c>
      <c r="M4" s="103"/>
      <c r="N4" s="103" t="s">
        <v>62</v>
      </c>
      <c r="P4" s="116"/>
    </row>
    <row r="5" spans="2:16" s="107" customFormat="1" ht="22" customHeight="1">
      <c r="B5" s="113"/>
      <c r="C5" s="103" t="s">
        <v>196</v>
      </c>
      <c r="D5" s="117"/>
      <c r="E5" s="254" t="s">
        <v>197</v>
      </c>
      <c r="F5" s="254"/>
      <c r="G5" s="103"/>
      <c r="H5" s="103" t="s">
        <v>198</v>
      </c>
      <c r="J5" s="117"/>
      <c r="K5" s="118" t="s">
        <v>199</v>
      </c>
      <c r="L5" s="103" t="s">
        <v>200</v>
      </c>
      <c r="M5" s="103"/>
      <c r="N5" s="103" t="s">
        <v>201</v>
      </c>
      <c r="P5" s="116"/>
    </row>
    <row r="6" spans="2:16" s="107" customFormat="1" ht="22" customHeight="1">
      <c r="B6" s="113"/>
      <c r="C6" s="103" t="s">
        <v>202</v>
      </c>
      <c r="D6" s="119" t="s">
        <v>203</v>
      </c>
      <c r="E6" s="254" t="s">
        <v>204</v>
      </c>
      <c r="F6" s="254"/>
      <c r="G6" s="103"/>
      <c r="H6" s="103" t="s">
        <v>205</v>
      </c>
      <c r="J6" s="117"/>
      <c r="K6" s="118" t="s">
        <v>67</v>
      </c>
      <c r="L6" s="103" t="s">
        <v>206</v>
      </c>
      <c r="M6" s="103"/>
      <c r="N6" s="103" t="s">
        <v>207</v>
      </c>
      <c r="P6" s="116"/>
    </row>
    <row r="7" spans="2:16" s="107" customFormat="1" ht="22" customHeight="1">
      <c r="B7" s="113"/>
      <c r="C7" s="117"/>
      <c r="D7" s="159" t="s">
        <v>208</v>
      </c>
      <c r="E7" s="254" t="s">
        <v>209</v>
      </c>
      <c r="F7" s="254"/>
      <c r="G7" s="103"/>
      <c r="H7" s="119" t="s">
        <v>210</v>
      </c>
      <c r="J7" s="117"/>
      <c r="K7" s="118" t="s">
        <v>47</v>
      </c>
      <c r="L7" s="103" t="s">
        <v>211</v>
      </c>
      <c r="M7" s="103"/>
      <c r="N7" s="103" t="s">
        <v>48</v>
      </c>
      <c r="P7" s="116"/>
    </row>
    <row r="8" spans="2:16" s="107" customFormat="1" ht="22" customHeight="1">
      <c r="B8" s="113"/>
      <c r="C8" s="103" t="s">
        <v>212</v>
      </c>
      <c r="D8" s="117"/>
      <c r="E8" s="254" t="s">
        <v>213</v>
      </c>
      <c r="F8" s="254"/>
      <c r="G8" s="103"/>
      <c r="H8" s="103" t="s">
        <v>214</v>
      </c>
      <c r="J8" s="117"/>
      <c r="K8" s="118" t="s">
        <v>41</v>
      </c>
      <c r="L8" s="103" t="s">
        <v>215</v>
      </c>
      <c r="M8" s="103"/>
      <c r="N8" s="103" t="s">
        <v>54</v>
      </c>
      <c r="P8" s="116"/>
    </row>
    <row r="9" spans="2:16" s="107" customFormat="1" ht="22" customHeight="1">
      <c r="B9" s="113"/>
      <c r="C9" s="103" t="s">
        <v>216</v>
      </c>
      <c r="D9" s="117"/>
      <c r="E9" s="254" t="s">
        <v>217</v>
      </c>
      <c r="F9" s="254"/>
      <c r="G9" s="103"/>
      <c r="H9" s="103" t="s">
        <v>218</v>
      </c>
      <c r="J9" s="117"/>
      <c r="K9" s="118" t="s">
        <v>219</v>
      </c>
      <c r="L9" s="103" t="s">
        <v>220</v>
      </c>
      <c r="M9" s="103"/>
      <c r="N9" s="103" t="s">
        <v>221</v>
      </c>
      <c r="P9" s="116"/>
    </row>
    <row r="10" spans="2:16" s="107" customFormat="1" ht="22" customHeight="1">
      <c r="B10" s="113"/>
      <c r="C10" s="103" t="s">
        <v>222</v>
      </c>
      <c r="D10" s="117"/>
      <c r="E10" s="254" t="s">
        <v>223</v>
      </c>
      <c r="F10" s="254"/>
      <c r="G10" s="103"/>
      <c r="H10" s="103" t="s">
        <v>224</v>
      </c>
      <c r="J10" s="117"/>
      <c r="K10" s="118" t="s">
        <v>54</v>
      </c>
      <c r="L10" s="103" t="s">
        <v>225</v>
      </c>
      <c r="M10" s="103"/>
      <c r="N10" s="103" t="s">
        <v>57</v>
      </c>
      <c r="P10" s="116"/>
    </row>
    <row r="11" spans="2:16" s="107" customFormat="1" ht="22" customHeight="1">
      <c r="B11" s="113"/>
      <c r="C11" s="103" t="s">
        <v>226</v>
      </c>
      <c r="D11" s="117"/>
      <c r="E11" s="254" t="s">
        <v>598</v>
      </c>
      <c r="F11" s="254"/>
      <c r="G11" s="103"/>
      <c r="H11" s="103" t="s">
        <v>227</v>
      </c>
      <c r="J11" s="117"/>
      <c r="K11" s="118" t="s">
        <v>228</v>
      </c>
      <c r="L11" s="103" t="s">
        <v>229</v>
      </c>
      <c r="M11" s="103"/>
      <c r="N11" s="103" t="s">
        <v>230</v>
      </c>
      <c r="P11" s="116"/>
    </row>
    <row r="12" spans="2:16" s="107" customFormat="1" ht="22" customHeight="1">
      <c r="B12" s="113"/>
      <c r="C12" s="103" t="s">
        <v>231</v>
      </c>
      <c r="D12" s="117"/>
      <c r="E12" s="254" t="s">
        <v>232</v>
      </c>
      <c r="F12" s="254"/>
      <c r="G12" s="103"/>
      <c r="H12" s="103" t="s">
        <v>233</v>
      </c>
      <c r="J12" s="117"/>
      <c r="K12" s="118" t="s">
        <v>234</v>
      </c>
      <c r="L12" s="103" t="s">
        <v>235</v>
      </c>
      <c r="M12" s="103"/>
      <c r="N12" s="103" t="s">
        <v>127</v>
      </c>
      <c r="P12" s="116"/>
    </row>
    <row r="13" spans="2:16" s="107" customFormat="1" ht="22" customHeight="1">
      <c r="B13" s="113"/>
      <c r="C13" s="103"/>
      <c r="D13" s="117"/>
      <c r="E13" s="117"/>
      <c r="F13" s="117"/>
      <c r="G13" s="117"/>
      <c r="H13" s="117"/>
      <c r="I13" s="117"/>
      <c r="J13" s="117"/>
      <c r="K13" s="118" t="s">
        <v>236</v>
      </c>
      <c r="L13" s="103" t="s">
        <v>237</v>
      </c>
      <c r="M13" s="103"/>
      <c r="N13" s="103" t="s">
        <v>54</v>
      </c>
      <c r="P13" s="116"/>
    </row>
    <row r="14" spans="2:16" s="107" customFormat="1" ht="22" customHeight="1">
      <c r="B14" s="113"/>
      <c r="C14" s="103"/>
      <c r="D14" s="120"/>
      <c r="E14" s="120"/>
      <c r="F14" s="120"/>
      <c r="G14" s="120"/>
      <c r="H14" s="120"/>
      <c r="I14" s="120"/>
      <c r="J14" s="117"/>
      <c r="K14" s="118" t="s">
        <v>118</v>
      </c>
      <c r="L14" s="103" t="s">
        <v>238</v>
      </c>
      <c r="M14" s="103"/>
      <c r="N14" s="103" t="s">
        <v>86</v>
      </c>
      <c r="P14" s="116"/>
    </row>
    <row r="15" spans="2:16" s="107" customFormat="1" ht="22" customHeight="1">
      <c r="B15" s="113"/>
      <c r="C15" s="103"/>
      <c r="D15" s="120"/>
      <c r="E15" s="120"/>
      <c r="F15" s="120"/>
      <c r="G15" s="120"/>
      <c r="H15" s="120"/>
      <c r="I15" s="120"/>
      <c r="J15" s="103"/>
      <c r="K15" s="118" t="s">
        <v>239</v>
      </c>
      <c r="L15" s="103" t="s">
        <v>240</v>
      </c>
      <c r="M15" s="103"/>
      <c r="N15" s="103" t="s">
        <v>35</v>
      </c>
      <c r="P15" s="116"/>
    </row>
    <row r="16" spans="2:16" s="107" customFormat="1" ht="22" customHeight="1">
      <c r="B16" s="113"/>
      <c r="C16" s="103"/>
      <c r="D16" s="120"/>
      <c r="E16" s="120"/>
      <c r="F16" s="120"/>
      <c r="G16" s="120"/>
      <c r="H16" s="120"/>
      <c r="I16" s="120"/>
      <c r="J16" s="103"/>
      <c r="K16" s="118" t="s">
        <v>241</v>
      </c>
      <c r="L16" s="103" t="s">
        <v>242</v>
      </c>
      <c r="M16" s="103"/>
      <c r="N16" s="103" t="s">
        <v>243</v>
      </c>
      <c r="P16" s="116"/>
    </row>
    <row r="17" spans="2:16" s="107" customFormat="1" ht="22" customHeight="1">
      <c r="B17" s="113"/>
      <c r="C17" s="103"/>
      <c r="D17" s="120"/>
      <c r="E17" s="120"/>
      <c r="F17" s="120"/>
      <c r="G17" s="120"/>
      <c r="H17" s="120"/>
      <c r="I17" s="120"/>
      <c r="J17" s="103"/>
      <c r="K17" s="118" t="s">
        <v>244</v>
      </c>
      <c r="L17" s="103" t="s">
        <v>245</v>
      </c>
      <c r="M17" s="103"/>
      <c r="N17" s="103" t="s">
        <v>123</v>
      </c>
      <c r="P17" s="116"/>
    </row>
    <row r="18" spans="2:16" s="107" customFormat="1" ht="22" customHeight="1">
      <c r="B18" s="113"/>
      <c r="C18" s="103"/>
      <c r="D18" s="120"/>
      <c r="E18" s="120"/>
      <c r="F18" s="120"/>
      <c r="G18" s="120"/>
      <c r="H18" s="120"/>
      <c r="I18" s="120"/>
      <c r="J18" s="103"/>
      <c r="K18" s="118" t="s">
        <v>246</v>
      </c>
      <c r="L18" s="103" t="s">
        <v>247</v>
      </c>
      <c r="M18" s="103"/>
      <c r="N18" s="103" t="s">
        <v>248</v>
      </c>
      <c r="P18" s="116"/>
    </row>
    <row r="19" spans="2:16">
      <c r="B19" s="1"/>
      <c r="C19" s="54"/>
      <c r="D19" s="2"/>
      <c r="E19" s="2"/>
      <c r="F19" s="2"/>
      <c r="G19" s="2"/>
      <c r="H19" s="2"/>
      <c r="I19" s="2"/>
      <c r="J19" s="54"/>
      <c r="K19" s="55"/>
      <c r="L19" s="55"/>
      <c r="M19" s="55"/>
      <c r="N19" s="2"/>
      <c r="O19" s="2"/>
      <c r="P19" s="3"/>
    </row>
    <row r="20" spans="2:16">
      <c r="B20" s="1"/>
      <c r="C20" s="2"/>
      <c r="D20" s="286" t="s">
        <v>599</v>
      </c>
      <c r="E20" s="287"/>
      <c r="F20" s="287"/>
      <c r="G20" s="287"/>
      <c r="H20" s="287"/>
      <c r="I20" s="287"/>
      <c r="J20" s="287"/>
      <c r="K20" s="287"/>
      <c r="L20" s="287"/>
      <c r="M20" s="287"/>
      <c r="N20" s="288"/>
      <c r="O20" s="59"/>
      <c r="P20" s="3"/>
    </row>
    <row r="21" spans="2:16">
      <c r="B21" s="1"/>
      <c r="C21" s="2"/>
      <c r="D21" s="60" t="s">
        <v>249</v>
      </c>
      <c r="E21" s="59"/>
      <c r="F21" s="61"/>
      <c r="G21" s="61"/>
      <c r="H21" s="62" t="s">
        <v>250</v>
      </c>
      <c r="I21" s="63" t="s">
        <v>251</v>
      </c>
      <c r="J21" s="59"/>
      <c r="K21" s="59"/>
      <c r="L21" s="59"/>
      <c r="M21" s="59"/>
      <c r="N21" s="64"/>
      <c r="O21" s="2"/>
      <c r="P21" s="3"/>
    </row>
    <row r="22" spans="2:16">
      <c r="B22" s="1"/>
      <c r="C22" s="2"/>
      <c r="D22" s="65" t="s">
        <v>252</v>
      </c>
      <c r="E22" s="66">
        <v>27.321660999999999</v>
      </c>
      <c r="F22" s="61" t="s">
        <v>253</v>
      </c>
      <c r="G22" s="61"/>
      <c r="H22" s="61" t="s">
        <v>254</v>
      </c>
      <c r="I22" s="67" t="s">
        <v>255</v>
      </c>
      <c r="J22" s="68">
        <f>2*PI()*E24/E23</f>
        <v>1023.1572982614729</v>
      </c>
      <c r="K22" s="61" t="s">
        <v>256</v>
      </c>
      <c r="L22" s="69" t="s">
        <v>257</v>
      </c>
      <c r="M22" s="61"/>
      <c r="N22" s="3"/>
      <c r="O22" s="2"/>
      <c r="P22" s="3"/>
    </row>
    <row r="23" spans="2:16">
      <c r="B23" s="1"/>
      <c r="C23" s="2"/>
      <c r="D23" s="70" t="s">
        <v>151</v>
      </c>
      <c r="E23" s="71">
        <f>E22*24*60*60</f>
        <v>2360591.5103999996</v>
      </c>
      <c r="F23" s="61" t="s">
        <v>258</v>
      </c>
      <c r="G23" s="2"/>
      <c r="H23" s="72" t="s">
        <v>259</v>
      </c>
      <c r="I23" s="67" t="s">
        <v>260</v>
      </c>
      <c r="J23" s="68">
        <f>(E29*E28/E24)^0.5</f>
        <v>1018.1108937063067</v>
      </c>
      <c r="K23" s="61" t="s">
        <v>256</v>
      </c>
      <c r="L23" s="69" t="s">
        <v>261</v>
      </c>
      <c r="M23" s="61"/>
      <c r="N23" s="3"/>
      <c r="O23" s="2"/>
      <c r="P23" s="3"/>
    </row>
    <row r="24" spans="2:16">
      <c r="B24" s="1"/>
      <c r="C24" s="2"/>
      <c r="D24" s="65" t="s">
        <v>262</v>
      </c>
      <c r="E24" s="71">
        <f>384.4*10^6</f>
        <v>384400000</v>
      </c>
      <c r="F24" s="61" t="s">
        <v>263</v>
      </c>
      <c r="G24" s="2"/>
      <c r="H24" s="61" t="s">
        <v>264</v>
      </c>
      <c r="I24" s="61"/>
      <c r="J24" s="73">
        <f>E27*(J22^2)/E24</f>
        <v>1.9509988396060544E+20</v>
      </c>
      <c r="K24" s="61" t="s">
        <v>265</v>
      </c>
      <c r="L24" s="74" t="s">
        <v>266</v>
      </c>
      <c r="M24" s="61"/>
      <c r="N24" s="3"/>
      <c r="O24" s="2"/>
      <c r="P24" s="3"/>
    </row>
    <row r="25" spans="2:16">
      <c r="B25" s="1"/>
      <c r="C25" s="2"/>
      <c r="D25" s="65" t="s">
        <v>267</v>
      </c>
      <c r="E25" s="68">
        <f>3476.6/2*10^3</f>
        <v>1738300</v>
      </c>
      <c r="F25" s="61" t="s">
        <v>54</v>
      </c>
      <c r="G25" s="61"/>
      <c r="H25" s="61" t="s">
        <v>268</v>
      </c>
      <c r="I25" s="61"/>
      <c r="J25" s="75">
        <f>E29*E27*E28/E24^2</f>
        <v>1.9318009128650018E+20</v>
      </c>
      <c r="K25" s="61" t="s">
        <v>265</v>
      </c>
      <c r="L25" s="61" t="s">
        <v>269</v>
      </c>
      <c r="M25" s="61"/>
      <c r="N25" s="3"/>
      <c r="O25" s="2"/>
      <c r="P25" s="3"/>
    </row>
    <row r="26" spans="2:16">
      <c r="B26" s="1"/>
      <c r="C26" s="2"/>
      <c r="D26" s="65" t="s">
        <v>270</v>
      </c>
      <c r="E26" s="68">
        <f>6378000</f>
        <v>6378000</v>
      </c>
      <c r="F26" s="61" t="s">
        <v>54</v>
      </c>
      <c r="G26" s="61"/>
      <c r="H26" s="76" t="s">
        <v>271</v>
      </c>
      <c r="I26" s="59"/>
      <c r="J26" s="59"/>
      <c r="K26" s="59"/>
      <c r="L26" s="61"/>
      <c r="M26" s="59"/>
      <c r="N26" s="3"/>
      <c r="O26" s="2"/>
      <c r="P26" s="3"/>
    </row>
    <row r="27" spans="2:16">
      <c r="B27" s="1"/>
      <c r="C27" s="2"/>
      <c r="D27" s="65" t="s">
        <v>272</v>
      </c>
      <c r="E27" s="73">
        <f>0.012*E28</f>
        <v>7.1639999999999994E+22</v>
      </c>
      <c r="F27" s="61" t="s">
        <v>57</v>
      </c>
      <c r="G27" s="61"/>
      <c r="H27" s="59"/>
      <c r="I27" s="77" t="s">
        <v>273</v>
      </c>
      <c r="J27" s="77"/>
      <c r="K27" s="77" t="s">
        <v>274</v>
      </c>
      <c r="L27" s="77"/>
      <c r="M27" s="77"/>
      <c r="N27" s="3"/>
      <c r="O27" s="2"/>
      <c r="P27" s="3"/>
    </row>
    <row r="28" spans="2:16">
      <c r="B28" s="1"/>
      <c r="C28" s="2"/>
      <c r="D28" s="65" t="s">
        <v>275</v>
      </c>
      <c r="E28" s="73">
        <f>5.97*10^24</f>
        <v>5.9699999999999992E+24</v>
      </c>
      <c r="F28" s="61" t="s">
        <v>57</v>
      </c>
      <c r="G28" s="61"/>
      <c r="H28" s="59"/>
      <c r="I28" s="78" t="s">
        <v>276</v>
      </c>
      <c r="J28" s="78" t="s">
        <v>259</v>
      </c>
      <c r="K28" s="78" t="s">
        <v>276</v>
      </c>
      <c r="L28" s="78" t="s">
        <v>259</v>
      </c>
      <c r="M28" s="78"/>
      <c r="N28" s="3"/>
      <c r="O28" s="2"/>
      <c r="P28" s="3"/>
    </row>
    <row r="29" spans="2:16">
      <c r="B29" s="1"/>
      <c r="C29" s="2"/>
      <c r="D29" s="65" t="s">
        <v>277</v>
      </c>
      <c r="E29" s="313">
        <f>6.6742*10^-11</f>
        <v>6.6741999999999998E-11</v>
      </c>
      <c r="F29" s="79" t="s">
        <v>278</v>
      </c>
      <c r="G29" s="79"/>
      <c r="H29" s="59"/>
      <c r="I29" s="80" t="s">
        <v>279</v>
      </c>
      <c r="J29" s="80" t="s">
        <v>279</v>
      </c>
      <c r="K29" s="80" t="s">
        <v>280</v>
      </c>
      <c r="L29" s="80" t="s">
        <v>280</v>
      </c>
      <c r="M29" s="80"/>
      <c r="N29" s="3"/>
      <c r="O29" s="2"/>
      <c r="P29" s="3"/>
    </row>
    <row r="30" spans="2:16">
      <c r="B30" s="1"/>
      <c r="C30" s="59"/>
      <c r="D30" s="81"/>
      <c r="E30" s="59"/>
      <c r="F30" s="59"/>
      <c r="G30" s="59"/>
      <c r="H30" s="78" t="s">
        <v>281</v>
      </c>
      <c r="I30" s="68">
        <v>0</v>
      </c>
      <c r="J30" s="68">
        <f>ROUND(($E$24-$E$25-$E$26)/1000,-2)</f>
        <v>376300</v>
      </c>
      <c r="K30" s="66">
        <f t="shared" ref="K30:K43" si="0">$E$29*$E$28/($E$26+I30*10^3)^2</f>
        <v>9.7950017507854916</v>
      </c>
      <c r="L30" s="82">
        <f t="shared" ref="L30:L43" si="1">$E$29*$E$27/($E$25+J30*1000)^2</f>
        <v>3.3456706829790424E-5</v>
      </c>
      <c r="M30" s="66"/>
      <c r="N30" s="3"/>
      <c r="O30" s="2"/>
      <c r="P30" s="3"/>
    </row>
    <row r="31" spans="2:16">
      <c r="B31" s="1"/>
      <c r="C31" s="59"/>
      <c r="D31" s="65" t="s">
        <v>282</v>
      </c>
      <c r="F31" s="59"/>
      <c r="G31" s="59"/>
      <c r="H31" s="78"/>
      <c r="I31" s="68">
        <v>100</v>
      </c>
      <c r="J31" s="68">
        <f t="shared" ref="J31:J43" si="2">ROUND(($E$24-$E$25-$E$26)/1000-I31,-2)</f>
        <v>376200</v>
      </c>
      <c r="K31" s="66">
        <f t="shared" si="0"/>
        <v>9.4949276631162665</v>
      </c>
      <c r="L31" s="82">
        <f t="shared" si="1"/>
        <v>3.3474414023288728E-5</v>
      </c>
      <c r="M31" s="66"/>
      <c r="N31" s="3"/>
      <c r="O31" s="2"/>
      <c r="P31" s="3"/>
    </row>
    <row r="32" spans="2:16">
      <c r="B32" s="1"/>
      <c r="C32" s="59"/>
      <c r="D32" s="65" t="s">
        <v>283</v>
      </c>
      <c r="F32" s="59"/>
      <c r="G32" s="59"/>
      <c r="H32" s="78"/>
      <c r="I32" s="68">
        <v>1000</v>
      </c>
      <c r="J32" s="68">
        <f t="shared" si="2"/>
        <v>375300</v>
      </c>
      <c r="K32" s="66">
        <f t="shared" si="0"/>
        <v>7.3197499603379326</v>
      </c>
      <c r="L32" s="82">
        <f t="shared" si="1"/>
        <v>3.3634413310074394E-5</v>
      </c>
      <c r="M32" s="66"/>
      <c r="N32" s="3"/>
      <c r="O32" s="2"/>
      <c r="P32" s="3"/>
    </row>
    <row r="33" spans="2:16">
      <c r="B33" s="1"/>
      <c r="C33" s="59"/>
      <c r="D33" s="81"/>
      <c r="E33" s="59"/>
      <c r="F33" s="59"/>
      <c r="G33" s="59"/>
      <c r="H33" s="78"/>
      <c r="I33" s="68">
        <v>10000</v>
      </c>
      <c r="J33" s="68">
        <f t="shared" si="2"/>
        <v>366300</v>
      </c>
      <c r="K33" s="66">
        <f t="shared" si="0"/>
        <v>1.4854287121176657</v>
      </c>
      <c r="L33" s="83">
        <f t="shared" si="1"/>
        <v>3.5299516903926849E-5</v>
      </c>
      <c r="M33" s="66"/>
      <c r="N33" s="3"/>
      <c r="O33" s="2"/>
      <c r="P33" s="3"/>
    </row>
    <row r="34" spans="2:16">
      <c r="B34" s="1"/>
      <c r="C34" s="59"/>
      <c r="D34" s="81"/>
      <c r="E34" s="59"/>
      <c r="F34" s="59"/>
      <c r="G34" s="59"/>
      <c r="H34" s="78"/>
      <c r="I34" s="68">
        <v>100000</v>
      </c>
      <c r="J34" s="68">
        <f t="shared" si="2"/>
        <v>276300</v>
      </c>
      <c r="K34" s="84">
        <f t="shared" si="0"/>
        <v>3.5210314634730767E-2</v>
      </c>
      <c r="L34" s="83">
        <f t="shared" si="1"/>
        <v>6.1850831843301271E-5</v>
      </c>
      <c r="M34" s="84"/>
      <c r="N34" s="3"/>
      <c r="O34" s="2"/>
      <c r="P34" s="3"/>
    </row>
    <row r="35" spans="2:16">
      <c r="B35" s="1"/>
      <c r="C35" s="59"/>
      <c r="D35" s="81"/>
      <c r="E35" s="59"/>
      <c r="F35" s="59"/>
      <c r="G35" s="59"/>
      <c r="H35" s="78"/>
      <c r="I35" s="68">
        <v>200000</v>
      </c>
      <c r="J35" s="68">
        <f t="shared" si="2"/>
        <v>176300</v>
      </c>
      <c r="K35" s="84">
        <f t="shared" si="0"/>
        <v>9.3550636985324665E-3</v>
      </c>
      <c r="L35" s="85">
        <f t="shared" si="1"/>
        <v>1.5084395693550317E-4</v>
      </c>
      <c r="M35" s="84"/>
      <c r="N35" s="3"/>
      <c r="O35" s="2"/>
      <c r="P35" s="3"/>
    </row>
    <row r="36" spans="2:16">
      <c r="B36" s="1"/>
      <c r="C36" s="59"/>
      <c r="D36" s="81"/>
      <c r="E36" s="59"/>
      <c r="F36" s="59"/>
      <c r="G36" s="59"/>
      <c r="H36" s="78"/>
      <c r="I36" s="68">
        <v>300000</v>
      </c>
      <c r="J36" s="68">
        <f t="shared" si="2"/>
        <v>76300</v>
      </c>
      <c r="K36" s="86">
        <f t="shared" si="0"/>
        <v>4.2448113525281536E-3</v>
      </c>
      <c r="L36" s="85">
        <f t="shared" si="1"/>
        <v>7.8512570007793151E-4</v>
      </c>
      <c r="M36" s="86"/>
      <c r="N36" s="3"/>
      <c r="O36" s="2"/>
      <c r="P36" s="3"/>
    </row>
    <row r="37" spans="2:16">
      <c r="B37" s="1"/>
      <c r="C37" s="59"/>
      <c r="D37" s="81"/>
      <c r="E37" s="59"/>
      <c r="F37" s="59"/>
      <c r="G37" s="59"/>
      <c r="H37" s="87" t="s">
        <v>284</v>
      </c>
      <c r="I37" s="88">
        <v>340070</v>
      </c>
      <c r="J37" s="88">
        <f t="shared" si="2"/>
        <v>36200</v>
      </c>
      <c r="K37" s="89">
        <f t="shared" si="0"/>
        <v>3.3196892390820578E-3</v>
      </c>
      <c r="L37" s="89">
        <f t="shared" si="1"/>
        <v>3.3219956617625145E-3</v>
      </c>
      <c r="M37" s="90"/>
      <c r="N37" s="3"/>
      <c r="O37" s="2"/>
      <c r="P37" s="3"/>
    </row>
    <row r="38" spans="2:16">
      <c r="B38" s="1"/>
      <c r="C38" s="59"/>
      <c r="D38" s="81"/>
      <c r="E38" s="59"/>
      <c r="F38" s="59"/>
      <c r="G38" s="59"/>
      <c r="H38" s="78"/>
      <c r="I38" s="68">
        <v>350000</v>
      </c>
      <c r="J38" s="68">
        <f t="shared" si="2"/>
        <v>26300</v>
      </c>
      <c r="K38" s="91">
        <f t="shared" si="0"/>
        <v>3.1372691237812498E-3</v>
      </c>
      <c r="L38" s="86">
        <f t="shared" si="1"/>
        <v>6.0820703237773263E-3</v>
      </c>
      <c r="M38" s="91"/>
      <c r="N38" s="3"/>
      <c r="O38" s="2"/>
      <c r="P38" s="3"/>
    </row>
    <row r="39" spans="2:16">
      <c r="B39" s="1"/>
      <c r="C39" s="59"/>
      <c r="D39" s="81"/>
      <c r="E39" s="59"/>
      <c r="F39" s="59"/>
      <c r="G39" s="59"/>
      <c r="H39" s="78"/>
      <c r="I39" s="68">
        <v>360000</v>
      </c>
      <c r="J39" s="68">
        <f t="shared" si="2"/>
        <v>16300</v>
      </c>
      <c r="K39" s="92">
        <f t="shared" si="0"/>
        <v>2.9683477106844792E-3</v>
      </c>
      <c r="L39" s="84">
        <f t="shared" si="1"/>
        <v>1.4694796724155454E-2</v>
      </c>
      <c r="M39" s="92"/>
      <c r="N39" s="3"/>
      <c r="O39" s="2"/>
      <c r="P39" s="3"/>
    </row>
    <row r="40" spans="2:16">
      <c r="B40" s="1"/>
      <c r="C40" s="59"/>
      <c r="D40" s="81"/>
      <c r="E40" s="59"/>
      <c r="F40" s="59"/>
      <c r="G40" s="59"/>
      <c r="H40" s="78"/>
      <c r="I40" s="68">
        <v>370000</v>
      </c>
      <c r="J40" s="68">
        <f t="shared" si="2"/>
        <v>6300</v>
      </c>
      <c r="K40" s="92">
        <f t="shared" si="0"/>
        <v>2.8127108432489619E-3</v>
      </c>
      <c r="L40" s="84">
        <f t="shared" si="1"/>
        <v>7.3999088903073038E-2</v>
      </c>
      <c r="M40" s="92"/>
      <c r="N40" s="3"/>
      <c r="O40" s="2"/>
      <c r="P40" s="3"/>
    </row>
    <row r="41" spans="2:16">
      <c r="B41" s="1"/>
      <c r="C41" s="59"/>
      <c r="D41" s="81"/>
      <c r="E41" s="59"/>
      <c r="F41" s="59"/>
      <c r="G41" s="59"/>
      <c r="H41" s="78"/>
      <c r="I41" s="68">
        <v>375000</v>
      </c>
      <c r="J41" s="68">
        <f t="shared" si="2"/>
        <v>1300</v>
      </c>
      <c r="K41" s="93">
        <f t="shared" si="0"/>
        <v>2.7394430347233195E-3</v>
      </c>
      <c r="L41" s="66">
        <f t="shared" si="1"/>
        <v>0.51795673735525583</v>
      </c>
      <c r="M41" s="93"/>
      <c r="N41" s="3"/>
      <c r="O41" s="2"/>
      <c r="P41" s="3"/>
    </row>
    <row r="42" spans="2:16">
      <c r="B42" s="1"/>
      <c r="C42" s="59"/>
      <c r="D42" s="81"/>
      <c r="E42" s="59"/>
      <c r="F42" s="59"/>
      <c r="G42" s="59"/>
      <c r="H42" s="78"/>
      <c r="I42" s="68">
        <v>376000</v>
      </c>
      <c r="J42" s="68">
        <f t="shared" si="2"/>
        <v>300</v>
      </c>
      <c r="K42" s="93">
        <f t="shared" si="0"/>
        <v>2.7251333154355694E-3</v>
      </c>
      <c r="L42" s="66">
        <f t="shared" si="1"/>
        <v>1.1508496364674856</v>
      </c>
      <c r="M42" s="93"/>
      <c r="N42" s="3"/>
      <c r="O42" s="2"/>
      <c r="P42" s="3"/>
    </row>
    <row r="43" spans="2:16">
      <c r="B43" s="1"/>
      <c r="C43" s="59"/>
      <c r="D43" s="81"/>
      <c r="E43" s="59"/>
      <c r="F43" s="59"/>
      <c r="G43" s="59"/>
      <c r="H43" s="78" t="s">
        <v>285</v>
      </c>
      <c r="I43" s="68">
        <f>J30</f>
        <v>376300</v>
      </c>
      <c r="J43" s="68">
        <f t="shared" si="2"/>
        <v>0</v>
      </c>
      <c r="K43" s="93">
        <f t="shared" si="0"/>
        <v>2.7208622596662912E-3</v>
      </c>
      <c r="L43" s="66">
        <f t="shared" si="1"/>
        <v>1.5823601365924447</v>
      </c>
      <c r="M43" s="93"/>
      <c r="N43" s="3"/>
      <c r="O43" s="2"/>
      <c r="P43" s="3"/>
    </row>
    <row r="44" spans="2:16">
      <c r="B44" s="1"/>
      <c r="C44" s="94"/>
      <c r="D44" s="95"/>
      <c r="E44" s="94"/>
      <c r="F44" s="94"/>
      <c r="G44" s="94"/>
      <c r="H44" s="94"/>
      <c r="I44" s="94"/>
      <c r="J44" s="94"/>
      <c r="K44" s="94"/>
      <c r="L44" s="94"/>
      <c r="M44" s="94"/>
      <c r="N44" s="96"/>
      <c r="O44" s="94"/>
      <c r="P44" s="3"/>
    </row>
    <row r="45" spans="2:16">
      <c r="B45" s="1"/>
      <c r="C45" s="2"/>
      <c r="D45" s="1"/>
      <c r="E45" s="2"/>
      <c r="F45" s="2"/>
      <c r="G45" s="2"/>
      <c r="H45" s="2"/>
      <c r="I45" s="2"/>
      <c r="J45" s="2"/>
      <c r="K45" s="2"/>
      <c r="L45" s="2"/>
      <c r="M45" s="2"/>
      <c r="N45" s="3"/>
      <c r="O45" s="2"/>
      <c r="P45" s="3"/>
    </row>
    <row r="46" spans="2:16">
      <c r="B46" s="1"/>
      <c r="C46" s="2"/>
      <c r="D46" s="1"/>
      <c r="E46" s="2"/>
      <c r="F46" s="2"/>
      <c r="G46" s="2"/>
      <c r="H46" s="2"/>
      <c r="I46" s="2"/>
      <c r="J46" s="2"/>
      <c r="K46" s="2"/>
      <c r="L46" s="2"/>
      <c r="M46" s="2"/>
      <c r="N46" s="3"/>
      <c r="O46" s="2"/>
      <c r="P46" s="3"/>
    </row>
    <row r="47" spans="2:16">
      <c r="B47" s="1"/>
      <c r="C47" s="2"/>
      <c r="D47" s="1"/>
      <c r="E47" s="2"/>
      <c r="F47" s="2"/>
      <c r="G47" s="2"/>
      <c r="H47" s="2"/>
      <c r="I47" s="2"/>
      <c r="J47" s="2"/>
      <c r="K47" s="2"/>
      <c r="L47" s="2"/>
      <c r="M47" s="2"/>
      <c r="N47" s="3"/>
      <c r="O47" s="2"/>
      <c r="P47" s="3"/>
    </row>
    <row r="48" spans="2:16">
      <c r="B48" s="1"/>
      <c r="C48" s="2"/>
      <c r="D48" s="1"/>
      <c r="E48" s="2"/>
      <c r="F48" s="2"/>
      <c r="G48" s="2"/>
      <c r="H48" s="2"/>
      <c r="I48" s="2"/>
      <c r="J48" s="2"/>
      <c r="K48" s="2"/>
      <c r="L48" s="2"/>
      <c r="M48" s="2"/>
      <c r="N48" s="3"/>
      <c r="O48" s="2"/>
      <c r="P48" s="3"/>
    </row>
    <row r="49" spans="2:16">
      <c r="B49" s="1"/>
      <c r="C49" s="2"/>
      <c r="D49" s="1"/>
      <c r="E49" s="2"/>
      <c r="F49" s="2"/>
      <c r="G49" s="2"/>
      <c r="H49" s="2"/>
      <c r="I49" s="2"/>
      <c r="J49" s="2"/>
      <c r="K49" s="2"/>
      <c r="L49" s="2"/>
      <c r="M49" s="2"/>
      <c r="N49" s="3"/>
      <c r="O49" s="2"/>
      <c r="P49" s="3"/>
    </row>
    <row r="50" spans="2:16">
      <c r="B50" s="1"/>
      <c r="C50" s="2"/>
      <c r="D50" s="1"/>
      <c r="E50" s="2"/>
      <c r="F50" s="2"/>
      <c r="G50" s="2"/>
      <c r="H50" s="2"/>
      <c r="I50" s="2"/>
      <c r="J50" s="2"/>
      <c r="K50" s="2"/>
      <c r="L50" s="2"/>
      <c r="M50" s="2"/>
      <c r="N50" s="3"/>
      <c r="O50" s="2"/>
      <c r="P50" s="3"/>
    </row>
    <row r="51" spans="2:16">
      <c r="B51" s="1"/>
      <c r="C51" s="2"/>
      <c r="D51" s="1"/>
      <c r="E51" s="2"/>
      <c r="F51" s="2"/>
      <c r="G51" s="2"/>
      <c r="H51" s="2"/>
      <c r="I51" s="2"/>
      <c r="J51" s="2"/>
      <c r="K51" s="2"/>
      <c r="L51" s="2"/>
      <c r="M51" s="2"/>
      <c r="N51" s="3"/>
      <c r="O51" s="2"/>
      <c r="P51" s="3"/>
    </row>
    <row r="52" spans="2:16">
      <c r="B52" s="1"/>
      <c r="C52" s="2"/>
      <c r="D52" s="1"/>
      <c r="E52" s="2"/>
      <c r="F52" s="2"/>
      <c r="G52" s="2"/>
      <c r="H52" s="2"/>
      <c r="I52" s="2"/>
      <c r="J52" s="2"/>
      <c r="K52" s="2"/>
      <c r="L52" s="2"/>
      <c r="M52" s="2"/>
      <c r="N52" s="3"/>
      <c r="O52" s="2"/>
      <c r="P52" s="3"/>
    </row>
    <row r="53" spans="2:16">
      <c r="B53" s="1"/>
      <c r="C53" s="2"/>
      <c r="D53" s="1"/>
      <c r="E53" s="2"/>
      <c r="F53" s="2"/>
      <c r="G53" s="2"/>
      <c r="H53" s="2"/>
      <c r="I53" s="2"/>
      <c r="J53" s="2"/>
      <c r="K53" s="2"/>
      <c r="L53" s="2"/>
      <c r="M53" s="2"/>
      <c r="N53" s="3"/>
      <c r="O53" s="2"/>
      <c r="P53" s="3"/>
    </row>
    <row r="54" spans="2:16">
      <c r="B54" s="1"/>
      <c r="C54" s="2"/>
      <c r="D54" s="1"/>
      <c r="E54" s="2"/>
      <c r="F54" s="2"/>
      <c r="G54" s="2"/>
      <c r="H54" s="2"/>
      <c r="I54" s="2"/>
      <c r="J54" s="2"/>
      <c r="K54" s="2"/>
      <c r="L54" s="2"/>
      <c r="M54" s="2"/>
      <c r="N54" s="3"/>
      <c r="O54" s="2"/>
      <c r="P54" s="3"/>
    </row>
    <row r="55" spans="2:16">
      <c r="B55" s="1"/>
      <c r="C55" s="2"/>
      <c r="D55" s="1"/>
      <c r="E55" s="2"/>
      <c r="F55" s="2"/>
      <c r="G55" s="2"/>
      <c r="H55" s="2"/>
      <c r="I55" s="2"/>
      <c r="J55" s="2"/>
      <c r="K55" s="2"/>
      <c r="L55" s="2"/>
      <c r="M55" s="2"/>
      <c r="N55" s="3"/>
      <c r="O55" s="2"/>
      <c r="P55" s="3"/>
    </row>
    <row r="56" spans="2:16">
      <c r="B56" s="1"/>
      <c r="C56" s="2"/>
      <c r="D56" s="1"/>
      <c r="E56" s="2"/>
      <c r="F56" s="2"/>
      <c r="G56" s="2"/>
      <c r="H56" s="2"/>
      <c r="I56" s="2"/>
      <c r="J56" s="2"/>
      <c r="K56" s="2"/>
      <c r="L56" s="2"/>
      <c r="M56" s="2"/>
      <c r="N56" s="3"/>
      <c r="O56" s="2"/>
      <c r="P56" s="3"/>
    </row>
    <row r="57" spans="2:16">
      <c r="B57" s="1"/>
      <c r="C57" s="2"/>
      <c r="D57" s="1"/>
      <c r="E57" s="2"/>
      <c r="F57" s="2"/>
      <c r="G57" s="2"/>
      <c r="H57" s="2"/>
      <c r="I57" s="2"/>
      <c r="J57" s="2"/>
      <c r="K57" s="2"/>
      <c r="L57" s="2"/>
      <c r="M57" s="2"/>
      <c r="N57" s="3"/>
      <c r="O57" s="2"/>
      <c r="P57" s="3"/>
    </row>
    <row r="58" spans="2:16">
      <c r="B58" s="1"/>
      <c r="C58" s="2"/>
      <c r="D58" s="38"/>
      <c r="E58" s="39"/>
      <c r="F58" s="39"/>
      <c r="G58" s="39"/>
      <c r="H58" s="39"/>
      <c r="I58" s="39"/>
      <c r="J58" s="39"/>
      <c r="K58" s="39"/>
      <c r="L58" s="39"/>
      <c r="M58" s="39"/>
      <c r="N58" s="40"/>
      <c r="O58" s="2"/>
      <c r="P58" s="3"/>
    </row>
    <row r="59" spans="2:16" ht="9" customHeight="1">
      <c r="B59" s="38"/>
      <c r="C59" s="39"/>
      <c r="D59" s="39"/>
      <c r="E59" s="39"/>
      <c r="F59" s="39"/>
      <c r="G59" s="39"/>
      <c r="H59" s="39"/>
      <c r="I59" s="39"/>
      <c r="J59" s="39"/>
      <c r="K59" s="39"/>
      <c r="L59" s="39"/>
      <c r="M59" s="39"/>
      <c r="N59" s="39"/>
      <c r="O59" s="39"/>
      <c r="P59" s="40"/>
    </row>
  </sheetData>
  <mergeCells count="1">
    <mergeCell ref="D20:N20"/>
  </mergeCells>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0"/>
  <sheetViews>
    <sheetView showGridLines="0" showRuler="0" workbookViewId="0">
      <selection activeCell="K8" sqref="K8:P9"/>
    </sheetView>
  </sheetViews>
  <sheetFormatPr baseColWidth="10" defaultRowHeight="15" x14ac:dyDescent="0"/>
  <cols>
    <col min="1" max="1" width="2" customWidth="1"/>
    <col min="2" max="2" width="1.6640625" customWidth="1"/>
    <col min="4" max="4" width="21.6640625" customWidth="1"/>
    <col min="5" max="5" width="8.1640625" customWidth="1"/>
    <col min="8" max="8" width="11.6640625" customWidth="1"/>
    <col min="9" max="10" width="2" customWidth="1"/>
    <col min="12" max="12" width="20.5" customWidth="1"/>
    <col min="13" max="13" width="5.6640625" customWidth="1"/>
    <col min="17" max="17" width="1.6640625" customWidth="1"/>
  </cols>
  <sheetData>
    <row r="1" spans="1:18" s="255" customFormat="1" ht="38" customHeight="1">
      <c r="B1" s="244" t="s">
        <v>617</v>
      </c>
      <c r="C1" s="244"/>
      <c r="D1" s="244"/>
      <c r="E1" s="244"/>
      <c r="F1" s="244"/>
      <c r="G1" s="244"/>
      <c r="H1" s="244"/>
      <c r="I1" s="244"/>
      <c r="J1" s="244"/>
      <c r="K1" s="244"/>
      <c r="L1" s="244"/>
      <c r="M1" s="244"/>
      <c r="N1" s="244"/>
      <c r="O1" s="244"/>
      <c r="P1" s="244"/>
      <c r="Q1" s="244"/>
    </row>
    <row r="2" spans="1:18" s="255" customFormat="1" ht="13" customHeight="1">
      <c r="B2" s="257"/>
      <c r="C2" s="256"/>
      <c r="D2" s="256"/>
      <c r="E2" s="256"/>
      <c r="F2" s="256"/>
      <c r="G2" s="256"/>
      <c r="H2" s="256"/>
      <c r="I2" s="256"/>
      <c r="J2" s="256"/>
      <c r="K2" s="256"/>
      <c r="L2" s="256"/>
      <c r="M2" s="256"/>
      <c r="N2" s="256"/>
      <c r="O2" s="256"/>
      <c r="P2" s="256"/>
      <c r="Q2" s="258"/>
    </row>
    <row r="3" spans="1:18" s="107" customFormat="1" ht="33" customHeight="1">
      <c r="B3" s="261"/>
      <c r="C3" s="283" t="s">
        <v>419</v>
      </c>
      <c r="D3" s="283"/>
      <c r="E3" s="283"/>
      <c r="F3" s="283"/>
      <c r="G3" s="283"/>
      <c r="H3" s="283"/>
      <c r="I3" s="259"/>
      <c r="J3" s="260"/>
      <c r="K3" s="283" t="s">
        <v>420</v>
      </c>
      <c r="L3" s="283"/>
      <c r="M3" s="283"/>
      <c r="N3" s="283"/>
      <c r="O3" s="283"/>
      <c r="P3" s="283"/>
      <c r="Q3" s="108"/>
    </row>
    <row r="4" spans="1:18" s="107" customFormat="1" ht="22" customHeight="1">
      <c r="A4" s="109"/>
      <c r="B4" s="110"/>
      <c r="C4" s="295" t="s">
        <v>588</v>
      </c>
      <c r="D4" s="295"/>
      <c r="E4" s="295"/>
      <c r="F4" s="295"/>
      <c r="G4" s="295"/>
      <c r="H4" s="295"/>
      <c r="I4" s="221"/>
      <c r="J4" s="222"/>
      <c r="K4" s="111"/>
      <c r="L4" s="111"/>
      <c r="M4" s="111"/>
      <c r="N4" s="111"/>
      <c r="O4" s="111"/>
      <c r="P4" s="111"/>
      <c r="Q4" s="112"/>
      <c r="R4" s="109"/>
    </row>
    <row r="5" spans="1:18" s="107" customFormat="1" ht="22" customHeight="1">
      <c r="A5" s="109"/>
      <c r="B5" s="110"/>
      <c r="C5" s="295"/>
      <c r="D5" s="295"/>
      <c r="E5" s="295"/>
      <c r="F5" s="295"/>
      <c r="G5" s="295"/>
      <c r="H5" s="295"/>
      <c r="I5" s="221"/>
      <c r="J5" s="222"/>
      <c r="K5" s="111"/>
      <c r="L5" s="111"/>
      <c r="M5" s="111"/>
      <c r="N5" s="111"/>
      <c r="O5" s="111"/>
      <c r="P5" s="111"/>
      <c r="Q5" s="112"/>
      <c r="R5" s="109"/>
    </row>
    <row r="6" spans="1:18" s="107" customFormat="1" ht="45" customHeight="1">
      <c r="B6" s="113"/>
      <c r="C6" s="103"/>
      <c r="D6" s="103"/>
      <c r="E6" s="294" t="s">
        <v>587</v>
      </c>
      <c r="F6" s="294"/>
      <c r="G6" s="294"/>
      <c r="H6" s="294"/>
      <c r="I6" s="220"/>
      <c r="J6" s="222"/>
      <c r="K6" s="115"/>
      <c r="L6" s="115"/>
      <c r="M6" s="289" t="s">
        <v>421</v>
      </c>
      <c r="N6" s="289"/>
      <c r="O6" s="289"/>
      <c r="P6" s="289"/>
      <c r="Q6" s="116"/>
    </row>
    <row r="7" spans="1:18" s="107" customFormat="1" ht="43" customHeight="1">
      <c r="B7" s="113"/>
      <c r="C7" s="117"/>
      <c r="D7" s="117"/>
      <c r="E7" s="293" t="s">
        <v>422</v>
      </c>
      <c r="F7" s="293"/>
      <c r="G7" s="293"/>
      <c r="H7" s="293"/>
      <c r="I7" s="219"/>
      <c r="J7" s="222"/>
      <c r="K7" s="115"/>
      <c r="L7" s="115"/>
      <c r="M7" s="289" t="s">
        <v>423</v>
      </c>
      <c r="N7" s="289"/>
      <c r="O7" s="289"/>
      <c r="P7" s="289"/>
      <c r="Q7" s="116"/>
    </row>
    <row r="8" spans="1:18" s="107" customFormat="1" ht="44" customHeight="1">
      <c r="B8" s="113"/>
      <c r="C8" s="117"/>
      <c r="D8" s="117"/>
      <c r="E8" s="290" t="s">
        <v>424</v>
      </c>
      <c r="F8" s="290"/>
      <c r="G8" s="290"/>
      <c r="H8" s="290"/>
      <c r="I8" s="217"/>
      <c r="J8" s="222"/>
      <c r="K8" s="289" t="s">
        <v>425</v>
      </c>
      <c r="L8" s="289"/>
      <c r="M8" s="289"/>
      <c r="N8" s="289"/>
      <c r="O8" s="289"/>
      <c r="P8" s="289"/>
      <c r="Q8" s="116"/>
    </row>
    <row r="9" spans="1:18" s="107" customFormat="1" ht="60" customHeight="1">
      <c r="B9" s="113"/>
      <c r="C9" s="117"/>
      <c r="D9" s="117"/>
      <c r="E9" s="291" t="s">
        <v>426</v>
      </c>
      <c r="F9" s="291"/>
      <c r="G9" s="291"/>
      <c r="H9" s="291"/>
      <c r="I9" s="218"/>
      <c r="J9" s="222"/>
      <c r="K9" s="289"/>
      <c r="L9" s="289"/>
      <c r="M9" s="289"/>
      <c r="N9" s="289"/>
      <c r="O9" s="289"/>
      <c r="P9" s="289"/>
      <c r="Q9" s="116"/>
    </row>
    <row r="10" spans="1:18" s="107" customFormat="1" ht="22" customHeight="1">
      <c r="B10" s="113"/>
      <c r="C10" s="118" t="s">
        <v>427</v>
      </c>
      <c r="D10" s="103" t="s">
        <v>428</v>
      </c>
      <c r="E10" s="119"/>
      <c r="F10" s="115"/>
      <c r="G10" s="117"/>
      <c r="H10" s="115"/>
      <c r="I10" s="115"/>
      <c r="J10" s="222"/>
      <c r="K10" s="118" t="s">
        <v>427</v>
      </c>
      <c r="L10" s="115" t="s">
        <v>429</v>
      </c>
      <c r="M10" s="115"/>
      <c r="N10" s="115"/>
      <c r="O10" s="115"/>
      <c r="P10" s="115"/>
      <c r="Q10" s="116"/>
    </row>
    <row r="11" spans="1:18" s="107" customFormat="1" ht="22" customHeight="1">
      <c r="B11" s="113"/>
      <c r="C11" s="103"/>
      <c r="D11" s="103" t="s">
        <v>430</v>
      </c>
      <c r="E11" s="119"/>
      <c r="F11" s="115"/>
      <c r="G11" s="117"/>
      <c r="H11" s="115"/>
      <c r="I11" s="115"/>
      <c r="J11" s="222"/>
      <c r="K11" s="115"/>
      <c r="L11" s="115" t="s">
        <v>431</v>
      </c>
      <c r="M11" s="115"/>
      <c r="N11" s="115"/>
      <c r="O11" s="115"/>
      <c r="P11" s="115"/>
      <c r="Q11" s="116"/>
    </row>
    <row r="12" spans="1:18" s="107" customFormat="1" ht="22" customHeight="1">
      <c r="B12" s="113"/>
      <c r="C12" s="103"/>
      <c r="D12" s="103" t="s">
        <v>432</v>
      </c>
      <c r="E12" s="119"/>
      <c r="F12" s="115"/>
      <c r="G12" s="117"/>
      <c r="H12" s="115"/>
      <c r="I12" s="115"/>
      <c r="J12" s="223"/>
      <c r="K12" s="115"/>
      <c r="L12" s="115" t="s">
        <v>433</v>
      </c>
      <c r="M12" s="115"/>
      <c r="N12" s="115"/>
      <c r="O12" s="115"/>
      <c r="P12" s="115"/>
      <c r="Q12" s="116"/>
    </row>
    <row r="13" spans="1:18" s="107" customFormat="1" ht="22" customHeight="1">
      <c r="B13" s="113"/>
      <c r="C13" s="103"/>
      <c r="D13" s="103"/>
      <c r="E13" s="115"/>
      <c r="F13" s="103"/>
      <c r="G13" s="103"/>
      <c r="H13" s="103"/>
      <c r="I13" s="103"/>
      <c r="J13" s="222"/>
      <c r="K13" s="115"/>
      <c r="L13" s="115"/>
      <c r="M13" s="115"/>
      <c r="N13" s="115"/>
      <c r="O13" s="115"/>
      <c r="P13" s="115"/>
      <c r="Q13" s="116"/>
    </row>
    <row r="14" spans="1:18" s="107" customFormat="1" ht="22" customHeight="1">
      <c r="B14" s="113"/>
      <c r="C14" s="292" t="s">
        <v>286</v>
      </c>
      <c r="D14" s="292"/>
      <c r="E14" s="122" t="s">
        <v>287</v>
      </c>
      <c r="F14" s="122" t="s">
        <v>288</v>
      </c>
      <c r="G14" s="115"/>
      <c r="H14" s="115"/>
      <c r="I14" s="115"/>
      <c r="J14" s="222"/>
      <c r="K14" s="292" t="s">
        <v>434</v>
      </c>
      <c r="L14" s="292"/>
      <c r="M14" s="122" t="s">
        <v>287</v>
      </c>
      <c r="N14" s="122" t="s">
        <v>288</v>
      </c>
      <c r="O14" s="115"/>
      <c r="P14" s="115"/>
      <c r="Q14" s="116"/>
    </row>
    <row r="15" spans="1:18" s="107" customFormat="1" ht="22" customHeight="1">
      <c r="B15" s="113"/>
      <c r="C15" s="118" t="s">
        <v>194</v>
      </c>
      <c r="D15" s="103" t="s">
        <v>195</v>
      </c>
      <c r="E15" s="103" t="s">
        <v>62</v>
      </c>
      <c r="F15" s="114" t="s">
        <v>435</v>
      </c>
      <c r="G15" s="125"/>
      <c r="H15" s="125"/>
      <c r="I15" s="125"/>
      <c r="J15" s="222"/>
      <c r="K15" s="118" t="s">
        <v>436</v>
      </c>
      <c r="L15" s="103" t="s">
        <v>437</v>
      </c>
      <c r="M15" s="103" t="s">
        <v>35</v>
      </c>
      <c r="N15" s="114" t="s">
        <v>438</v>
      </c>
      <c r="O15" s="115"/>
      <c r="P15" s="115"/>
      <c r="Q15" s="116"/>
    </row>
    <row r="16" spans="1:18" s="107" customFormat="1" ht="22" customHeight="1">
      <c r="B16" s="113"/>
      <c r="C16" s="123"/>
      <c r="D16" s="103" t="s">
        <v>439</v>
      </c>
      <c r="E16" s="103" t="s">
        <v>62</v>
      </c>
      <c r="F16" s="114" t="s">
        <v>440</v>
      </c>
      <c r="G16" s="125"/>
      <c r="H16" s="125"/>
      <c r="I16" s="125"/>
      <c r="J16" s="222"/>
      <c r="K16" s="118" t="s">
        <v>441</v>
      </c>
      <c r="L16" s="103" t="s">
        <v>442</v>
      </c>
      <c r="M16" s="103" t="s">
        <v>54</v>
      </c>
      <c r="N16" s="114" t="s">
        <v>443</v>
      </c>
      <c r="O16" s="115"/>
      <c r="P16" s="115"/>
      <c r="Q16" s="116"/>
    </row>
    <row r="17" spans="2:17" s="107" customFormat="1" ht="22" customHeight="1">
      <c r="B17" s="113"/>
      <c r="C17" s="118" t="s">
        <v>444</v>
      </c>
      <c r="D17" s="103" t="s">
        <v>445</v>
      </c>
      <c r="E17" s="103" t="s">
        <v>446</v>
      </c>
      <c r="F17" s="114" t="s">
        <v>447</v>
      </c>
      <c r="G17" s="125"/>
      <c r="H17" s="125"/>
      <c r="I17" s="125"/>
      <c r="J17" s="222"/>
      <c r="K17" s="118" t="s">
        <v>448</v>
      </c>
      <c r="L17" s="103" t="s">
        <v>449</v>
      </c>
      <c r="M17" s="103" t="s">
        <v>360</v>
      </c>
      <c r="N17" s="114" t="s">
        <v>450</v>
      </c>
      <c r="O17" s="115"/>
      <c r="P17" s="115"/>
      <c r="Q17" s="116"/>
    </row>
    <row r="18" spans="2:17" s="107" customFormat="1" ht="22" customHeight="1">
      <c r="B18" s="113"/>
      <c r="C18" s="118" t="s">
        <v>118</v>
      </c>
      <c r="D18" s="103" t="s">
        <v>238</v>
      </c>
      <c r="E18" s="103" t="s">
        <v>86</v>
      </c>
      <c r="F18" s="114" t="s">
        <v>451</v>
      </c>
      <c r="G18" s="125"/>
      <c r="H18" s="125"/>
      <c r="I18" s="125"/>
      <c r="J18" s="222"/>
      <c r="K18" s="118" t="s">
        <v>452</v>
      </c>
      <c r="L18" s="103" t="s">
        <v>453</v>
      </c>
      <c r="M18" s="103" t="s">
        <v>54</v>
      </c>
      <c r="N18" s="114" t="s">
        <v>454</v>
      </c>
      <c r="O18" s="115"/>
      <c r="P18" s="115"/>
      <c r="Q18" s="116"/>
    </row>
    <row r="19" spans="2:17" s="107" customFormat="1" ht="22" customHeight="1">
      <c r="B19" s="113"/>
      <c r="C19" s="118" t="s">
        <v>172</v>
      </c>
      <c r="D19" s="103" t="s">
        <v>11</v>
      </c>
      <c r="E19" s="103" t="s">
        <v>86</v>
      </c>
      <c r="F19" s="114" t="s">
        <v>455</v>
      </c>
      <c r="G19" s="125"/>
      <c r="H19" s="125"/>
      <c r="I19" s="125"/>
      <c r="J19" s="222"/>
      <c r="K19" s="115"/>
      <c r="L19" s="115"/>
      <c r="M19" s="115"/>
      <c r="N19" s="115"/>
      <c r="O19" s="115"/>
      <c r="P19" s="115"/>
      <c r="Q19" s="116"/>
    </row>
    <row r="20" spans="2:17" s="107" customFormat="1" ht="22" customHeight="1">
      <c r="B20" s="113"/>
      <c r="C20" s="118" t="s">
        <v>239</v>
      </c>
      <c r="D20" s="103" t="s">
        <v>240</v>
      </c>
      <c r="E20" s="103" t="s">
        <v>35</v>
      </c>
      <c r="F20" s="114" t="s">
        <v>456</v>
      </c>
      <c r="G20" s="125"/>
      <c r="H20" s="125"/>
      <c r="I20" s="125"/>
      <c r="J20" s="222"/>
      <c r="K20" s="115"/>
      <c r="L20" s="115"/>
      <c r="M20" s="115"/>
      <c r="N20" s="115"/>
      <c r="O20" s="115"/>
      <c r="P20" s="115"/>
      <c r="Q20" s="116"/>
    </row>
    <row r="21" spans="2:17" s="107" customFormat="1" ht="22" customHeight="1">
      <c r="B21" s="113"/>
      <c r="C21" s="118"/>
      <c r="D21" s="103" t="s">
        <v>457</v>
      </c>
      <c r="E21" s="103" t="s">
        <v>35</v>
      </c>
      <c r="F21" s="114" t="s">
        <v>458</v>
      </c>
      <c r="G21" s="125"/>
      <c r="H21" s="125"/>
      <c r="I21" s="125"/>
      <c r="J21" s="222"/>
      <c r="K21" s="115"/>
      <c r="L21" s="115"/>
      <c r="M21" s="115"/>
      <c r="N21" s="115"/>
      <c r="O21" s="115"/>
      <c r="P21" s="115"/>
      <c r="Q21" s="116"/>
    </row>
    <row r="22" spans="2:17" s="107" customFormat="1" ht="22" customHeight="1">
      <c r="B22" s="113"/>
      <c r="C22" s="118" t="s">
        <v>91</v>
      </c>
      <c r="D22" s="103" t="s">
        <v>459</v>
      </c>
      <c r="E22" s="103" t="s">
        <v>54</v>
      </c>
      <c r="F22" s="114" t="s">
        <v>460</v>
      </c>
      <c r="G22" s="125"/>
      <c r="H22" s="125"/>
      <c r="I22" s="125"/>
      <c r="J22" s="222"/>
      <c r="K22" s="115"/>
      <c r="L22" s="115"/>
      <c r="M22" s="115"/>
      <c r="N22" s="115"/>
      <c r="O22" s="115"/>
      <c r="P22" s="115"/>
      <c r="Q22" s="116"/>
    </row>
    <row r="23" spans="2:17" s="107" customFormat="1" ht="22" customHeight="1">
      <c r="B23" s="113"/>
      <c r="C23" s="123"/>
      <c r="D23" s="103" t="s">
        <v>461</v>
      </c>
      <c r="E23" s="103" t="s">
        <v>54</v>
      </c>
      <c r="F23" s="114" t="s">
        <v>462</v>
      </c>
      <c r="G23" s="125"/>
      <c r="H23" s="125"/>
      <c r="I23" s="125"/>
      <c r="J23" s="222"/>
      <c r="K23" s="115"/>
      <c r="L23" s="115"/>
      <c r="M23" s="115"/>
      <c r="N23" s="115"/>
      <c r="O23" s="115"/>
      <c r="P23" s="115"/>
      <c r="Q23" s="116"/>
    </row>
    <row r="24" spans="2:17" s="107" customFormat="1" ht="22" customHeight="1">
      <c r="B24" s="113"/>
      <c r="C24" s="115"/>
      <c r="D24" s="103" t="s">
        <v>456</v>
      </c>
      <c r="E24" s="103" t="s">
        <v>35</v>
      </c>
      <c r="F24" s="114" t="s">
        <v>463</v>
      </c>
      <c r="G24" s="125"/>
      <c r="H24" s="125"/>
      <c r="I24" s="125"/>
      <c r="J24" s="223"/>
      <c r="K24" s="115"/>
      <c r="L24" s="115"/>
      <c r="M24" s="115"/>
      <c r="N24" s="115"/>
      <c r="O24" s="115"/>
      <c r="P24" s="115"/>
      <c r="Q24" s="116"/>
    </row>
    <row r="25" spans="2:17" s="107" customFormat="1" ht="22" customHeight="1">
      <c r="B25" s="113"/>
      <c r="C25" s="115"/>
      <c r="D25" s="103" t="s">
        <v>435</v>
      </c>
      <c r="E25" s="103" t="s">
        <v>62</v>
      </c>
      <c r="F25" s="114" t="s">
        <v>464</v>
      </c>
      <c r="G25" s="125"/>
      <c r="H25" s="125"/>
      <c r="I25" s="125"/>
      <c r="J25" s="222"/>
      <c r="K25" s="115"/>
      <c r="L25" s="115"/>
      <c r="M25" s="115"/>
      <c r="N25" s="115"/>
      <c r="O25" s="115"/>
      <c r="P25" s="115"/>
      <c r="Q25" s="116"/>
    </row>
    <row r="26" spans="2:17" s="107" customFormat="1" ht="22" customHeight="1">
      <c r="B26" s="113"/>
      <c r="C26" s="123" t="s">
        <v>465</v>
      </c>
      <c r="D26" s="103" t="s">
        <v>466</v>
      </c>
      <c r="E26" s="103" t="s">
        <v>96</v>
      </c>
      <c r="F26" s="114" t="s">
        <v>467</v>
      </c>
      <c r="G26" s="125"/>
      <c r="H26" s="125"/>
      <c r="I26" s="125"/>
      <c r="J26" s="222"/>
      <c r="K26" s="115"/>
      <c r="L26" s="115"/>
      <c r="M26" s="115"/>
      <c r="N26" s="115"/>
      <c r="O26" s="115"/>
      <c r="P26" s="115"/>
      <c r="Q26" s="116"/>
    </row>
    <row r="27" spans="2:17" s="107" customFormat="1" ht="22" customHeight="1">
      <c r="B27" s="113"/>
      <c r="C27" s="118" t="s">
        <v>468</v>
      </c>
      <c r="D27" s="103" t="s">
        <v>466</v>
      </c>
      <c r="E27" s="103" t="s">
        <v>96</v>
      </c>
      <c r="F27" s="114" t="s">
        <v>469</v>
      </c>
      <c r="G27" s="125"/>
      <c r="H27" s="114"/>
      <c r="I27" s="218"/>
      <c r="J27" s="222"/>
      <c r="K27" s="115"/>
      <c r="L27" s="115"/>
      <c r="M27" s="115"/>
      <c r="N27" s="115"/>
      <c r="O27" s="115"/>
      <c r="P27" s="115"/>
      <c r="Q27" s="116"/>
    </row>
    <row r="28" spans="2:17" s="107" customFormat="1" ht="22" customHeight="1">
      <c r="B28" s="113"/>
      <c r="C28" s="118" t="s">
        <v>246</v>
      </c>
      <c r="D28" s="103" t="s">
        <v>375</v>
      </c>
      <c r="E28" s="103" t="s">
        <v>248</v>
      </c>
      <c r="F28" s="114" t="s">
        <v>470</v>
      </c>
      <c r="G28" s="125"/>
      <c r="H28" s="114"/>
      <c r="I28" s="218"/>
      <c r="J28" s="222"/>
      <c r="K28" s="115"/>
      <c r="L28" s="115"/>
      <c r="M28" s="115"/>
      <c r="N28" s="115"/>
      <c r="O28" s="115"/>
      <c r="P28" s="115"/>
      <c r="Q28" s="116"/>
    </row>
    <row r="29" spans="2:17" ht="12" customHeight="1">
      <c r="B29" s="38"/>
      <c r="C29" s="39"/>
      <c r="D29" s="39"/>
      <c r="E29" s="39"/>
      <c r="F29" s="39"/>
      <c r="G29" s="28"/>
      <c r="H29" s="28"/>
      <c r="I29" s="28"/>
      <c r="J29" s="312"/>
      <c r="K29" s="39"/>
      <c r="L29" s="39"/>
      <c r="M29" s="39"/>
      <c r="N29" s="39"/>
      <c r="O29" s="39"/>
      <c r="P29" s="39"/>
      <c r="Q29" s="40"/>
    </row>
    <row r="30" spans="2:17">
      <c r="G30" s="98"/>
      <c r="H30" s="99"/>
      <c r="I30" s="99"/>
      <c r="J30" s="100"/>
    </row>
  </sheetData>
  <mergeCells count="12">
    <mergeCell ref="E6:H6"/>
    <mergeCell ref="M6:P6"/>
    <mergeCell ref="C3:H3"/>
    <mergeCell ref="K3:P3"/>
    <mergeCell ref="C4:H5"/>
    <mergeCell ref="M7:P7"/>
    <mergeCell ref="E8:H8"/>
    <mergeCell ref="E9:H9"/>
    <mergeCell ref="C14:D14"/>
    <mergeCell ref="K14:L14"/>
    <mergeCell ref="E7:H7"/>
    <mergeCell ref="K8:P9"/>
  </mergeCells>
  <pageMargins left="0.75" right="0.75" top="1" bottom="1" header="0.5" footer="0.5"/>
  <drawing r:id="rId1"/>
  <legacyDrawing r:id="rId2"/>
  <oleObjects>
    <mc:AlternateContent xmlns:mc="http://schemas.openxmlformats.org/markup-compatibility/2006">
      <mc:Choice Requires="x14">
        <oleObject progId="Equation.3" shapeId="5121" r:id="rId3">
          <objectPr defaultSize="0" autoPict="0" r:id="rId4">
            <anchor moveWithCells="1">
              <from>
                <xdr:col>3</xdr:col>
                <xdr:colOff>0</xdr:colOff>
                <xdr:row>15</xdr:row>
                <xdr:rowOff>12700</xdr:rowOff>
              </from>
              <to>
                <xdr:col>3</xdr:col>
                <xdr:colOff>0</xdr:colOff>
                <xdr:row>15</xdr:row>
                <xdr:rowOff>152400</xdr:rowOff>
              </to>
            </anchor>
          </objectPr>
        </oleObject>
      </mc:Choice>
      <mc:Fallback>
        <oleObject progId="Equation.3" shapeId="5121" r:id="rId3"/>
      </mc:Fallback>
    </mc:AlternateContent>
    <mc:AlternateContent xmlns:mc="http://schemas.openxmlformats.org/markup-compatibility/2006">
      <mc:Choice Requires="x14">
        <oleObject progId="Equation.3" shapeId="5122" r:id="rId5">
          <objectPr defaultSize="0" autoPict="0" r:id="rId4">
            <anchor moveWithCells="1">
              <from>
                <xdr:col>3</xdr:col>
                <xdr:colOff>0</xdr:colOff>
                <xdr:row>20</xdr:row>
                <xdr:rowOff>12700</xdr:rowOff>
              </from>
              <to>
                <xdr:col>3</xdr:col>
                <xdr:colOff>0</xdr:colOff>
                <xdr:row>20</xdr:row>
                <xdr:rowOff>152400</xdr:rowOff>
              </to>
            </anchor>
          </objectPr>
        </oleObject>
      </mc:Choice>
      <mc:Fallback>
        <oleObject progId="Equation.3" shapeId="5122" r:id="rId5"/>
      </mc:Fallback>
    </mc:AlternateContent>
    <mc:AlternateContent xmlns:mc="http://schemas.openxmlformats.org/markup-compatibility/2006">
      <mc:Choice Requires="x14">
        <oleObject progId="Equation.3" shapeId="5123" r:id="rId6">
          <objectPr defaultSize="0" autoPict="0" r:id="rId4">
            <anchor moveWithCells="1">
              <from>
                <xdr:col>3</xdr:col>
                <xdr:colOff>0</xdr:colOff>
                <xdr:row>22</xdr:row>
                <xdr:rowOff>12700</xdr:rowOff>
              </from>
              <to>
                <xdr:col>3</xdr:col>
                <xdr:colOff>0</xdr:colOff>
                <xdr:row>22</xdr:row>
                <xdr:rowOff>190500</xdr:rowOff>
              </to>
            </anchor>
          </objectPr>
        </oleObject>
      </mc:Choice>
      <mc:Fallback>
        <oleObject progId="Equation.3" shapeId="5123" r:id="rId6"/>
      </mc:Fallback>
    </mc:AlternateContent>
  </oleObject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5"/>
  <sheetViews>
    <sheetView showGridLines="0" showRuler="0" workbookViewId="0"/>
  </sheetViews>
  <sheetFormatPr baseColWidth="10" defaultRowHeight="15" x14ac:dyDescent="0"/>
  <cols>
    <col min="1" max="1" width="2.5" customWidth="1"/>
    <col min="2" max="2" width="1.6640625" customWidth="1"/>
    <col min="10" max="10" width="9.5" customWidth="1"/>
    <col min="11" max="11" width="2" customWidth="1"/>
  </cols>
  <sheetData>
    <row r="1" spans="2:11" ht="44" customHeight="1">
      <c r="B1" s="251" t="s">
        <v>618</v>
      </c>
      <c r="C1" s="251"/>
      <c r="D1" s="251"/>
      <c r="E1" s="251"/>
      <c r="F1" s="251"/>
      <c r="G1" s="251"/>
      <c r="H1" s="251"/>
      <c r="I1" s="251"/>
      <c r="J1" s="251"/>
      <c r="K1" s="251"/>
    </row>
    <row r="2" spans="2:11">
      <c r="B2" s="239"/>
      <c r="C2" s="262"/>
      <c r="D2" s="262"/>
      <c r="E2" s="262"/>
      <c r="F2" s="262"/>
      <c r="G2" s="262"/>
      <c r="H2" s="262"/>
      <c r="I2" s="262"/>
      <c r="J2" s="241"/>
      <c r="K2" s="242"/>
    </row>
    <row r="3" spans="2:11" s="107" customFormat="1" ht="36" customHeight="1">
      <c r="B3" s="113"/>
      <c r="C3" s="283" t="s">
        <v>619</v>
      </c>
      <c r="D3" s="283"/>
      <c r="E3" s="283"/>
      <c r="F3" s="283"/>
      <c r="G3" s="283"/>
      <c r="H3" s="283"/>
      <c r="I3" s="283"/>
      <c r="J3" s="283"/>
      <c r="K3" s="116"/>
    </row>
    <row r="4" spans="2:11" s="107" customFormat="1" ht="22" customHeight="1">
      <c r="B4" s="113"/>
      <c r="C4" s="103" t="s">
        <v>607</v>
      </c>
      <c r="D4" s="103"/>
      <c r="E4" s="103" t="s">
        <v>609</v>
      </c>
      <c r="F4" s="103"/>
      <c r="G4" s="103"/>
      <c r="H4" s="103"/>
      <c r="I4" s="103"/>
      <c r="J4" s="115"/>
      <c r="K4" s="116"/>
    </row>
    <row r="5" spans="2:11" s="107" customFormat="1" ht="22" customHeight="1">
      <c r="B5" s="113"/>
      <c r="C5" s="103" t="s">
        <v>610</v>
      </c>
      <c r="D5" s="103"/>
      <c r="E5" s="103" t="s">
        <v>611</v>
      </c>
      <c r="F5" s="103"/>
      <c r="G5" s="103"/>
      <c r="H5" s="103"/>
      <c r="I5" s="103"/>
      <c r="J5" s="115"/>
      <c r="K5" s="116"/>
    </row>
    <row r="6" spans="2:11" s="107" customFormat="1" ht="22" customHeight="1">
      <c r="B6" s="113"/>
      <c r="C6" s="118" t="s">
        <v>427</v>
      </c>
      <c r="D6" s="103" t="s">
        <v>612</v>
      </c>
      <c r="E6" s="103" t="s">
        <v>608</v>
      </c>
      <c r="F6" s="103"/>
      <c r="G6" s="103"/>
      <c r="H6" s="103"/>
      <c r="I6" s="103"/>
      <c r="J6" s="115"/>
      <c r="K6" s="116"/>
    </row>
    <row r="7" spans="2:11" s="107" customFormat="1" ht="22" customHeight="1">
      <c r="B7" s="113"/>
      <c r="C7" s="103"/>
      <c r="D7" s="103" t="s">
        <v>540</v>
      </c>
      <c r="E7" s="103" t="s">
        <v>541</v>
      </c>
      <c r="F7" s="103"/>
      <c r="G7" s="103"/>
      <c r="H7" s="103"/>
      <c r="I7" s="103"/>
      <c r="J7" s="115"/>
      <c r="K7" s="116"/>
    </row>
    <row r="8" spans="2:11" ht="32" customHeight="1">
      <c r="B8" s="1"/>
      <c r="C8" s="55"/>
      <c r="D8" s="55"/>
      <c r="E8" s="55"/>
      <c r="F8" s="55"/>
      <c r="G8" s="54"/>
      <c r="H8" s="54"/>
      <c r="I8" s="54"/>
      <c r="J8" s="2"/>
      <c r="K8" s="3"/>
    </row>
    <row r="9" spans="2:11" s="107" customFormat="1" ht="40" customHeight="1">
      <c r="B9" s="113"/>
      <c r="C9" s="296" t="s">
        <v>620</v>
      </c>
      <c r="D9" s="296"/>
      <c r="E9" s="296"/>
      <c r="F9" s="296"/>
      <c r="G9" s="296"/>
      <c r="H9" s="296"/>
      <c r="I9" s="296"/>
      <c r="J9" s="296"/>
      <c r="K9" s="116"/>
    </row>
    <row r="10" spans="2:11" s="107" customFormat="1" ht="22" customHeight="1">
      <c r="B10" s="113"/>
      <c r="C10" s="166" t="s">
        <v>188</v>
      </c>
      <c r="D10" s="103"/>
      <c r="E10" s="166" t="s">
        <v>189</v>
      </c>
      <c r="F10" s="103"/>
      <c r="G10" s="166" t="s">
        <v>32</v>
      </c>
      <c r="H10" s="117"/>
      <c r="I10" s="103"/>
      <c r="J10" s="120"/>
      <c r="K10" s="116"/>
    </row>
    <row r="11" spans="2:11" s="107" customFormat="1" ht="22" customHeight="1">
      <c r="B11" s="113"/>
      <c r="C11" s="102" t="s">
        <v>542</v>
      </c>
      <c r="D11" s="102"/>
      <c r="E11" s="102" t="s">
        <v>543</v>
      </c>
      <c r="F11" s="102"/>
      <c r="G11" s="102" t="s">
        <v>544</v>
      </c>
      <c r="H11" s="102"/>
      <c r="I11" s="103"/>
      <c r="J11" s="120"/>
      <c r="K11" s="116"/>
    </row>
    <row r="12" spans="2:11" s="107" customFormat="1" ht="22" customHeight="1">
      <c r="B12" s="113"/>
      <c r="C12" s="102" t="s">
        <v>545</v>
      </c>
      <c r="D12" s="102"/>
      <c r="E12" s="102" t="s">
        <v>546</v>
      </c>
      <c r="F12" s="102"/>
      <c r="G12" s="102" t="s">
        <v>547</v>
      </c>
      <c r="H12" s="102"/>
      <c r="I12" s="103"/>
      <c r="J12" s="120"/>
      <c r="K12" s="116"/>
    </row>
    <row r="13" spans="2:11" s="107" customFormat="1" ht="22" customHeight="1">
      <c r="B13" s="113"/>
      <c r="C13" s="102" t="s">
        <v>548</v>
      </c>
      <c r="D13" s="102"/>
      <c r="E13" s="102" t="s">
        <v>549</v>
      </c>
      <c r="F13" s="102"/>
      <c r="G13" s="102" t="s">
        <v>550</v>
      </c>
      <c r="H13" s="102"/>
      <c r="I13" s="103"/>
      <c r="J13" s="120"/>
      <c r="K13" s="116"/>
    </row>
    <row r="14" spans="2:11" s="107" customFormat="1" ht="22" customHeight="1">
      <c r="B14" s="113"/>
      <c r="C14" s="102" t="s">
        <v>551</v>
      </c>
      <c r="D14" s="102"/>
      <c r="E14" s="102" t="s">
        <v>552</v>
      </c>
      <c r="F14" s="102"/>
      <c r="G14" s="102" t="s">
        <v>553</v>
      </c>
      <c r="H14" s="102"/>
      <c r="I14" s="103"/>
      <c r="J14" s="120"/>
      <c r="K14" s="116"/>
    </row>
    <row r="15" spans="2:11" s="107" customFormat="1" ht="22" customHeight="1">
      <c r="B15" s="113"/>
      <c r="C15" s="102" t="s">
        <v>554</v>
      </c>
      <c r="D15" s="102"/>
      <c r="E15" s="102" t="s">
        <v>555</v>
      </c>
      <c r="F15" s="102"/>
      <c r="G15" s="102" t="s">
        <v>556</v>
      </c>
      <c r="H15" s="102"/>
      <c r="I15" s="103"/>
      <c r="J15" s="120"/>
      <c r="K15" s="116"/>
    </row>
    <row r="16" spans="2:11" s="107" customFormat="1" ht="22" customHeight="1">
      <c r="B16" s="113"/>
      <c r="C16" s="102" t="s">
        <v>557</v>
      </c>
      <c r="D16" s="102"/>
      <c r="E16" s="102" t="s">
        <v>558</v>
      </c>
      <c r="F16" s="102"/>
      <c r="G16" s="102" t="s">
        <v>559</v>
      </c>
      <c r="H16" s="102"/>
      <c r="I16" s="103"/>
      <c r="J16" s="120"/>
      <c r="K16" s="116"/>
    </row>
    <row r="17" spans="2:11" s="107" customFormat="1" ht="22" customHeight="1">
      <c r="B17" s="113"/>
      <c r="C17" s="117"/>
      <c r="D17" s="117"/>
      <c r="E17" s="117"/>
      <c r="F17" s="117"/>
      <c r="G17" s="102" t="s">
        <v>560</v>
      </c>
      <c r="H17" s="117"/>
      <c r="I17" s="103"/>
      <c r="J17" s="120"/>
      <c r="K17" s="116"/>
    </row>
    <row r="18" spans="2:11">
      <c r="B18" s="1"/>
      <c r="C18" s="5"/>
      <c r="D18" s="5"/>
      <c r="E18" s="5"/>
      <c r="F18" s="5"/>
      <c r="G18" s="5"/>
      <c r="H18" s="5"/>
      <c r="I18" s="6"/>
      <c r="J18" s="58"/>
      <c r="K18" s="3"/>
    </row>
    <row r="19" spans="2:11">
      <c r="B19" s="1"/>
      <c r="C19" s="101"/>
      <c r="D19" s="56" t="s">
        <v>190</v>
      </c>
      <c r="E19" s="6"/>
      <c r="F19" s="5"/>
      <c r="G19" s="57" t="s">
        <v>78</v>
      </c>
      <c r="H19" s="57"/>
      <c r="I19" s="6"/>
      <c r="J19" s="58"/>
      <c r="K19" s="3"/>
    </row>
    <row r="20" spans="2:11" s="107" customFormat="1" ht="18" customHeight="1">
      <c r="B20" s="113"/>
      <c r="C20" s="102"/>
      <c r="D20" s="118" t="s">
        <v>89</v>
      </c>
      <c r="E20" s="103" t="s">
        <v>561</v>
      </c>
      <c r="F20" s="103"/>
      <c r="G20" s="102" t="s">
        <v>54</v>
      </c>
      <c r="H20" s="102"/>
      <c r="I20" s="103"/>
      <c r="J20" s="120"/>
      <c r="K20" s="116"/>
    </row>
    <row r="21" spans="2:11" s="107" customFormat="1" ht="18" customHeight="1">
      <c r="B21" s="113"/>
      <c r="C21" s="102"/>
      <c r="D21" s="201" t="s">
        <v>199</v>
      </c>
      <c r="E21" s="102" t="s">
        <v>562</v>
      </c>
      <c r="F21" s="102"/>
      <c r="G21" s="103" t="s">
        <v>563</v>
      </c>
      <c r="H21" s="103"/>
      <c r="I21" s="103"/>
      <c r="J21" s="120"/>
      <c r="K21" s="116"/>
    </row>
    <row r="22" spans="2:11" s="107" customFormat="1" ht="18" customHeight="1">
      <c r="B22" s="113"/>
      <c r="C22" s="102"/>
      <c r="D22" s="201" t="s">
        <v>64</v>
      </c>
      <c r="E22" s="102" t="s">
        <v>63</v>
      </c>
      <c r="F22" s="102"/>
      <c r="G22" s="105" t="s">
        <v>65</v>
      </c>
      <c r="H22" s="105"/>
      <c r="I22" s="103"/>
      <c r="J22" s="120"/>
      <c r="K22" s="116"/>
    </row>
    <row r="23" spans="2:11" s="107" customFormat="1" ht="18" customHeight="1">
      <c r="B23" s="113"/>
      <c r="C23" s="102"/>
      <c r="D23" s="201" t="s">
        <v>564</v>
      </c>
      <c r="E23" s="102" t="s">
        <v>565</v>
      </c>
      <c r="F23" s="102"/>
      <c r="G23" s="102" t="s">
        <v>54</v>
      </c>
      <c r="H23" s="102"/>
      <c r="I23" s="103"/>
      <c r="J23" s="120"/>
      <c r="K23" s="116"/>
    </row>
    <row r="24" spans="2:11" s="107" customFormat="1" ht="18" customHeight="1">
      <c r="B24" s="113"/>
      <c r="C24" s="102"/>
      <c r="D24" s="201" t="s">
        <v>12</v>
      </c>
      <c r="E24" s="102" t="s">
        <v>586</v>
      </c>
      <c r="F24" s="103"/>
      <c r="G24" s="103" t="s">
        <v>566</v>
      </c>
      <c r="H24" s="103" t="s">
        <v>567</v>
      </c>
      <c r="I24" s="103"/>
      <c r="J24" s="120"/>
      <c r="K24" s="116"/>
    </row>
    <row r="25" spans="2:11" s="107" customFormat="1" ht="18" customHeight="1">
      <c r="B25" s="113"/>
      <c r="C25" s="102"/>
      <c r="D25" s="201" t="s">
        <v>60</v>
      </c>
      <c r="E25" s="102" t="s">
        <v>568</v>
      </c>
      <c r="F25" s="103"/>
      <c r="G25" s="119" t="s">
        <v>360</v>
      </c>
      <c r="H25" s="103" t="s">
        <v>569</v>
      </c>
      <c r="I25" s="103"/>
      <c r="J25" s="120"/>
      <c r="K25" s="116"/>
    </row>
    <row r="26" spans="2:11" s="107" customFormat="1" ht="18" customHeight="1">
      <c r="B26" s="113"/>
      <c r="C26" s="102"/>
      <c r="D26" s="201" t="s">
        <v>50</v>
      </c>
      <c r="E26" s="102" t="s">
        <v>49</v>
      </c>
      <c r="F26" s="103"/>
      <c r="G26" s="105" t="s">
        <v>51</v>
      </c>
      <c r="H26" s="103"/>
      <c r="I26" s="103"/>
      <c r="J26" s="120"/>
      <c r="K26" s="116"/>
    </row>
    <row r="27" spans="2:11" s="107" customFormat="1" ht="18" customHeight="1">
      <c r="B27" s="113"/>
      <c r="C27" s="102"/>
      <c r="D27" s="201" t="s">
        <v>228</v>
      </c>
      <c r="E27" s="102" t="s">
        <v>570</v>
      </c>
      <c r="F27" s="102"/>
      <c r="G27" s="102" t="s">
        <v>571</v>
      </c>
      <c r="H27" s="102"/>
      <c r="I27" s="103"/>
      <c r="J27" s="120"/>
      <c r="K27" s="116"/>
    </row>
    <row r="28" spans="2:11" s="107" customFormat="1" ht="18" customHeight="1">
      <c r="B28" s="113"/>
      <c r="C28" s="102"/>
      <c r="D28" s="201" t="s">
        <v>572</v>
      </c>
      <c r="E28" s="102" t="s">
        <v>573</v>
      </c>
      <c r="F28" s="102"/>
      <c r="G28" s="105" t="s">
        <v>574</v>
      </c>
      <c r="H28" s="105"/>
      <c r="I28" s="103"/>
      <c r="J28" s="120"/>
      <c r="K28" s="116"/>
    </row>
    <row r="29" spans="2:11" s="107" customFormat="1" ht="18" customHeight="1">
      <c r="B29" s="113"/>
      <c r="C29" s="117"/>
      <c r="D29" s="201" t="s">
        <v>575</v>
      </c>
      <c r="E29" s="102" t="s">
        <v>576</v>
      </c>
      <c r="F29" s="117"/>
      <c r="G29" s="103" t="s">
        <v>65</v>
      </c>
      <c r="H29" s="102"/>
      <c r="I29" s="103"/>
      <c r="J29" s="120"/>
      <c r="K29" s="116"/>
    </row>
    <row r="30" spans="2:11" s="107" customFormat="1" ht="18" customHeight="1">
      <c r="B30" s="113"/>
      <c r="C30" s="117"/>
      <c r="D30" s="201" t="s">
        <v>172</v>
      </c>
      <c r="E30" s="102" t="s">
        <v>577</v>
      </c>
      <c r="F30" s="102"/>
      <c r="G30" s="102" t="s">
        <v>578</v>
      </c>
      <c r="H30" s="102"/>
      <c r="I30" s="103"/>
      <c r="J30" s="120"/>
      <c r="K30" s="116"/>
    </row>
    <row r="31" spans="2:11" s="107" customFormat="1" ht="18" customHeight="1">
      <c r="B31" s="113"/>
      <c r="C31" s="117"/>
      <c r="D31" s="201" t="s">
        <v>147</v>
      </c>
      <c r="E31" s="102" t="s">
        <v>579</v>
      </c>
      <c r="F31" s="117"/>
      <c r="G31" s="102" t="s">
        <v>580</v>
      </c>
      <c r="H31" s="117"/>
      <c r="I31" s="103"/>
      <c r="J31" s="120"/>
      <c r="K31" s="116"/>
    </row>
    <row r="32" spans="2:11" s="107" customFormat="1" ht="18" customHeight="1">
      <c r="B32" s="113"/>
      <c r="C32" s="102"/>
      <c r="D32" s="201" t="s">
        <v>519</v>
      </c>
      <c r="E32" s="102" t="s">
        <v>581</v>
      </c>
      <c r="F32" s="102"/>
      <c r="G32" s="102" t="s">
        <v>483</v>
      </c>
      <c r="H32" s="102"/>
      <c r="I32" s="103"/>
      <c r="J32" s="120"/>
      <c r="K32" s="116"/>
    </row>
    <row r="33" spans="2:11" s="107" customFormat="1" ht="18" customHeight="1">
      <c r="B33" s="113"/>
      <c r="C33" s="102"/>
      <c r="D33" s="202" t="s">
        <v>369</v>
      </c>
      <c r="E33" s="102" t="s">
        <v>582</v>
      </c>
      <c r="F33" s="117"/>
      <c r="G33" s="102" t="s">
        <v>583</v>
      </c>
      <c r="H33" s="117"/>
      <c r="I33" s="203"/>
      <c r="J33" s="115"/>
      <c r="K33" s="116"/>
    </row>
    <row r="34" spans="2:11" s="107" customFormat="1" ht="18" customHeight="1">
      <c r="B34" s="113"/>
      <c r="C34" s="102"/>
      <c r="D34" s="202" t="s">
        <v>584</v>
      </c>
      <c r="E34" s="102" t="s">
        <v>585</v>
      </c>
      <c r="F34" s="117"/>
      <c r="G34" s="102"/>
      <c r="H34" s="117"/>
      <c r="I34" s="117"/>
      <c r="J34" s="115"/>
      <c r="K34" s="116"/>
    </row>
    <row r="35" spans="2:11" ht="8" customHeight="1">
      <c r="B35" s="38"/>
      <c r="C35" s="39"/>
      <c r="D35" s="39"/>
      <c r="E35" s="39"/>
      <c r="F35" s="39"/>
      <c r="G35" s="39"/>
      <c r="H35" s="39"/>
      <c r="I35" s="39"/>
      <c r="J35" s="39"/>
      <c r="K35" s="40"/>
    </row>
  </sheetData>
  <mergeCells count="2">
    <mergeCell ref="C3:J3"/>
    <mergeCell ref="C9:J9"/>
  </mergeCell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48"/>
  <sheetViews>
    <sheetView showGridLines="0" showRuler="0" workbookViewId="0"/>
  </sheetViews>
  <sheetFormatPr baseColWidth="10" defaultRowHeight="15" x14ac:dyDescent="0"/>
  <cols>
    <col min="1" max="1" width="1.5" customWidth="1"/>
    <col min="2" max="2" width="1.1640625" customWidth="1"/>
    <col min="3" max="3" width="17.6640625" customWidth="1"/>
    <col min="4" max="4" width="7.5" customWidth="1"/>
    <col min="5" max="5" width="9.33203125" customWidth="1"/>
    <col min="7" max="7" width="8.1640625" customWidth="1"/>
    <col min="13" max="13" width="6.33203125" customWidth="1"/>
    <col min="14" max="14" width="11.33203125" customWidth="1"/>
    <col min="15" max="15" width="5.1640625" customWidth="1"/>
    <col min="16" max="16" width="7.83203125" customWidth="1"/>
    <col min="17" max="17" width="9" customWidth="1"/>
    <col min="18" max="18" width="8.5" customWidth="1"/>
    <col min="21" max="21" width="8.83203125" customWidth="1"/>
    <col min="23" max="23" width="4.83203125" customWidth="1"/>
    <col min="24" max="24" width="1.5" customWidth="1"/>
  </cols>
  <sheetData>
    <row r="1" spans="2:25" ht="40" customHeight="1">
      <c r="B1" s="251" t="s">
        <v>621</v>
      </c>
      <c r="C1" s="251"/>
      <c r="D1" s="251"/>
      <c r="E1" s="251"/>
      <c r="F1" s="251"/>
      <c r="G1" s="251"/>
      <c r="H1" s="251"/>
      <c r="I1" s="251"/>
      <c r="J1" s="251"/>
      <c r="K1" s="251"/>
      <c r="L1" s="251"/>
      <c r="M1" s="251"/>
      <c r="N1" s="251"/>
      <c r="O1" s="251"/>
      <c r="P1" s="251"/>
      <c r="Q1" s="251"/>
      <c r="R1" s="251"/>
      <c r="S1" s="251"/>
      <c r="T1" s="251"/>
      <c r="U1" s="251"/>
      <c r="V1" s="251"/>
      <c r="W1" s="251"/>
      <c r="X1" s="250"/>
      <c r="Y1" s="2"/>
    </row>
    <row r="2" spans="2:25">
      <c r="B2" s="1"/>
      <c r="C2" s="97"/>
      <c r="D2" s="97"/>
      <c r="E2" s="97"/>
      <c r="F2" s="97"/>
      <c r="G2" s="97"/>
      <c r="H2" s="97"/>
      <c r="I2" s="97"/>
      <c r="J2" s="97"/>
      <c r="K2" s="97"/>
      <c r="L2" s="97"/>
      <c r="Y2" s="1"/>
    </row>
    <row r="3" spans="2:25" s="129" customFormat="1" ht="35" customHeight="1">
      <c r="B3" s="127"/>
      <c r="C3" s="283" t="s">
        <v>622</v>
      </c>
      <c r="D3" s="283"/>
      <c r="E3" s="283"/>
      <c r="F3" s="283"/>
      <c r="G3" s="283"/>
      <c r="H3" s="283"/>
      <c r="I3" s="283"/>
      <c r="J3" s="283"/>
      <c r="K3" s="283"/>
      <c r="L3" s="283"/>
      <c r="M3" s="292" t="s">
        <v>286</v>
      </c>
      <c r="N3" s="292"/>
      <c r="O3" s="292"/>
      <c r="P3" s="121" t="s">
        <v>287</v>
      </c>
      <c r="Q3" s="160" t="s">
        <v>288</v>
      </c>
      <c r="R3" s="31"/>
      <c r="S3" s="31"/>
      <c r="T3" s="130"/>
      <c r="U3" s="31"/>
      <c r="V3" s="106"/>
      <c r="W3" s="128"/>
      <c r="Y3" s="127"/>
    </row>
    <row r="4" spans="2:25" s="129" customFormat="1" ht="22" customHeight="1">
      <c r="B4" s="127"/>
      <c r="C4" s="31" t="s">
        <v>289</v>
      </c>
      <c r="D4" s="224" t="s">
        <v>597</v>
      </c>
      <c r="E4" s="131"/>
      <c r="F4" s="132"/>
      <c r="G4" s="31"/>
      <c r="H4" s="31"/>
      <c r="I4" s="31"/>
      <c r="J4" s="31"/>
      <c r="K4" s="31"/>
      <c r="L4" s="31"/>
      <c r="M4" s="31" t="s">
        <v>290</v>
      </c>
      <c r="N4" s="124" t="s">
        <v>175</v>
      </c>
      <c r="O4" s="132"/>
      <c r="P4" s="31" t="s">
        <v>172</v>
      </c>
      <c r="Q4" s="124" t="s">
        <v>291</v>
      </c>
      <c r="R4" s="31"/>
      <c r="S4" s="31"/>
      <c r="T4" s="130"/>
      <c r="U4" s="31"/>
      <c r="V4" s="106"/>
      <c r="W4" s="128"/>
      <c r="Y4" s="127"/>
    </row>
    <row r="5" spans="2:25" s="129" customFormat="1" ht="22" customHeight="1">
      <c r="B5" s="127"/>
      <c r="C5" s="31" t="s">
        <v>292</v>
      </c>
      <c r="D5" s="224" t="s">
        <v>293</v>
      </c>
      <c r="E5" s="131"/>
      <c r="F5" s="132"/>
      <c r="G5" s="31"/>
      <c r="H5" s="31"/>
      <c r="I5" s="31"/>
      <c r="J5" s="31"/>
      <c r="K5" s="31"/>
      <c r="L5" s="31"/>
      <c r="M5" s="31" t="s">
        <v>38</v>
      </c>
      <c r="N5" s="124" t="s">
        <v>294</v>
      </c>
      <c r="O5" s="31"/>
      <c r="P5" s="31" t="s">
        <v>38</v>
      </c>
      <c r="Q5" s="124" t="s">
        <v>295</v>
      </c>
      <c r="R5" s="31"/>
      <c r="S5" s="31"/>
      <c r="T5" s="130"/>
      <c r="U5" s="31"/>
      <c r="V5" s="106"/>
      <c r="W5" s="128"/>
      <c r="Y5" s="127"/>
    </row>
    <row r="6" spans="2:25" s="129" customFormat="1" ht="22" customHeight="1">
      <c r="B6" s="127"/>
      <c r="C6" s="132"/>
      <c r="D6" s="132"/>
      <c r="E6" s="132"/>
      <c r="F6" s="132"/>
      <c r="G6" s="132"/>
      <c r="H6" s="132"/>
      <c r="I6" s="31"/>
      <c r="J6" s="31"/>
      <c r="K6" s="31"/>
      <c r="L6" s="31"/>
      <c r="M6" s="31" t="s">
        <v>296</v>
      </c>
      <c r="N6" s="124" t="s">
        <v>297</v>
      </c>
      <c r="O6" s="132"/>
      <c r="P6" s="31" t="s">
        <v>298</v>
      </c>
      <c r="Q6" s="124" t="s">
        <v>299</v>
      </c>
      <c r="R6" s="31"/>
      <c r="S6" s="31"/>
      <c r="T6" s="130"/>
      <c r="U6" s="31"/>
      <c r="V6" s="106"/>
      <c r="W6" s="128"/>
      <c r="Y6" s="127"/>
    </row>
    <row r="7" spans="2:25" s="129" customFormat="1" ht="36" customHeight="1">
      <c r="B7" s="127"/>
      <c r="C7" s="283" t="s">
        <v>623</v>
      </c>
      <c r="D7" s="283"/>
      <c r="E7" s="283"/>
      <c r="F7" s="283"/>
      <c r="G7" s="283"/>
      <c r="H7" s="283"/>
      <c r="I7" s="283"/>
      <c r="J7" s="283"/>
      <c r="K7" s="283"/>
      <c r="L7" s="283"/>
      <c r="M7" s="31" t="s">
        <v>199</v>
      </c>
      <c r="N7" s="124" t="s">
        <v>300</v>
      </c>
      <c r="O7" s="132"/>
      <c r="P7" s="31" t="s">
        <v>301</v>
      </c>
      <c r="Q7" s="124" t="s">
        <v>302</v>
      </c>
      <c r="R7" s="31"/>
      <c r="S7" s="31"/>
      <c r="T7" s="130"/>
      <c r="U7" s="31"/>
      <c r="V7" s="106"/>
      <c r="W7" s="128"/>
      <c r="Y7" s="127"/>
    </row>
    <row r="8" spans="2:25" s="129" customFormat="1" ht="22" customHeight="1">
      <c r="B8" s="127"/>
      <c r="C8" s="105" t="s">
        <v>303</v>
      </c>
      <c r="D8" s="132"/>
      <c r="E8" s="132"/>
      <c r="F8" s="132"/>
      <c r="G8" s="31"/>
      <c r="H8" s="31"/>
      <c r="I8" s="31"/>
      <c r="J8" s="31"/>
      <c r="K8" s="31"/>
      <c r="L8" s="31"/>
      <c r="M8" s="31" t="s">
        <v>67</v>
      </c>
      <c r="N8" s="124" t="s">
        <v>206</v>
      </c>
      <c r="O8" s="132"/>
      <c r="P8" s="31" t="s">
        <v>60</v>
      </c>
      <c r="Q8" s="124" t="s">
        <v>304</v>
      </c>
      <c r="R8" s="31"/>
      <c r="S8" s="31"/>
      <c r="T8" s="130"/>
      <c r="U8" s="31"/>
      <c r="V8" s="106"/>
      <c r="W8" s="128"/>
      <c r="Y8" s="127"/>
    </row>
    <row r="9" spans="2:25" s="129" customFormat="1" ht="22" customHeight="1">
      <c r="B9" s="127"/>
      <c r="C9" s="31" t="s">
        <v>305</v>
      </c>
      <c r="D9" s="153" t="s">
        <v>591</v>
      </c>
      <c r="E9" s="131"/>
      <c r="F9" s="132"/>
      <c r="G9" s="31"/>
      <c r="H9" s="31"/>
      <c r="I9" s="31"/>
      <c r="J9" s="31"/>
      <c r="K9" s="31"/>
      <c r="L9" s="31"/>
      <c r="M9" s="31" t="s">
        <v>167</v>
      </c>
      <c r="N9" s="124" t="s">
        <v>306</v>
      </c>
      <c r="O9" s="132"/>
      <c r="P9" s="31" t="s">
        <v>307</v>
      </c>
      <c r="Q9" s="124" t="s">
        <v>308</v>
      </c>
      <c r="R9" s="31"/>
      <c r="S9" s="31"/>
      <c r="T9" s="130"/>
      <c r="U9" s="31"/>
      <c r="V9" s="106"/>
      <c r="W9" s="128"/>
      <c r="Y9" s="127"/>
    </row>
    <row r="10" spans="2:25" s="129" customFormat="1" ht="22" customHeight="1">
      <c r="B10" s="127"/>
      <c r="C10" s="133" t="s">
        <v>309</v>
      </c>
      <c r="D10" s="153" t="s">
        <v>592</v>
      </c>
      <c r="E10" s="131"/>
      <c r="F10" s="132"/>
      <c r="G10" s="132"/>
      <c r="H10" s="132"/>
      <c r="I10" s="31"/>
      <c r="J10" s="31"/>
      <c r="K10" s="31"/>
      <c r="L10" s="31"/>
      <c r="M10" s="134" t="s">
        <v>6</v>
      </c>
      <c r="N10" s="124" t="s">
        <v>310</v>
      </c>
      <c r="O10" s="132"/>
      <c r="P10" s="31" t="s">
        <v>311</v>
      </c>
      <c r="Q10" s="124" t="s">
        <v>312</v>
      </c>
      <c r="R10" s="132"/>
      <c r="S10" s="132"/>
      <c r="T10" s="130"/>
      <c r="U10" s="132"/>
      <c r="V10" s="104"/>
      <c r="W10" s="128"/>
      <c r="Y10" s="127"/>
    </row>
    <row r="11" spans="2:25" s="129" customFormat="1" ht="22" customHeight="1">
      <c r="B11" s="127"/>
      <c r="C11" s="132"/>
      <c r="D11" s="132"/>
      <c r="E11" s="132"/>
      <c r="F11" s="132"/>
      <c r="G11" s="31"/>
      <c r="H11" s="31"/>
      <c r="I11" s="31"/>
      <c r="J11" s="31"/>
      <c r="K11" s="31"/>
      <c r="L11" s="31"/>
      <c r="M11" s="132"/>
      <c r="N11" s="124" t="s">
        <v>313</v>
      </c>
      <c r="O11" s="132"/>
      <c r="P11" s="31" t="s">
        <v>311</v>
      </c>
      <c r="Q11" s="124" t="s">
        <v>314</v>
      </c>
      <c r="R11" s="132"/>
      <c r="S11" s="132"/>
      <c r="T11" s="130"/>
      <c r="U11" s="132"/>
      <c r="V11" s="104"/>
      <c r="W11" s="128"/>
      <c r="Y11" s="127"/>
    </row>
    <row r="12" spans="2:25" s="129" customFormat="1" ht="41" customHeight="1">
      <c r="B12" s="127"/>
      <c r="C12" s="283" t="s">
        <v>624</v>
      </c>
      <c r="D12" s="283"/>
      <c r="E12" s="283"/>
      <c r="F12" s="283"/>
      <c r="G12" s="283"/>
      <c r="H12" s="283"/>
      <c r="I12" s="283"/>
      <c r="J12" s="283"/>
      <c r="K12" s="283"/>
      <c r="L12" s="283"/>
      <c r="M12" s="134" t="s">
        <v>315</v>
      </c>
      <c r="N12" s="124" t="s">
        <v>316</v>
      </c>
      <c r="O12" s="132"/>
      <c r="P12" s="31" t="s">
        <v>311</v>
      </c>
      <c r="Q12" s="124" t="s">
        <v>317</v>
      </c>
      <c r="R12" s="31"/>
      <c r="S12" s="31"/>
      <c r="T12" s="130"/>
      <c r="U12" s="31"/>
      <c r="V12" s="106"/>
      <c r="W12" s="128"/>
      <c r="Y12" s="127"/>
    </row>
    <row r="13" spans="2:25" s="129" customFormat="1" ht="22" customHeight="1">
      <c r="B13" s="127"/>
      <c r="C13" s="31" t="s">
        <v>318</v>
      </c>
      <c r="D13" s="124" t="s">
        <v>319</v>
      </c>
      <c r="E13" s="131"/>
      <c r="F13" s="132"/>
      <c r="G13" s="31"/>
      <c r="H13" s="31"/>
      <c r="I13" s="31"/>
      <c r="J13" s="31"/>
      <c r="K13" s="31"/>
      <c r="L13" s="31"/>
      <c r="M13" s="31" t="s">
        <v>122</v>
      </c>
      <c r="N13" s="124" t="s">
        <v>320</v>
      </c>
      <c r="O13" s="132"/>
      <c r="P13" s="31" t="s">
        <v>321</v>
      </c>
      <c r="Q13" s="124" t="s">
        <v>322</v>
      </c>
      <c r="R13" s="31"/>
      <c r="S13" s="31"/>
      <c r="T13" s="130"/>
      <c r="U13" s="31"/>
      <c r="V13" s="106"/>
      <c r="W13" s="128"/>
      <c r="Y13" s="127"/>
    </row>
    <row r="14" spans="2:25" s="129" customFormat="1" ht="22" customHeight="1">
      <c r="B14" s="127"/>
      <c r="C14" s="132" t="s">
        <v>323</v>
      </c>
      <c r="D14" s="124" t="s">
        <v>589</v>
      </c>
      <c r="E14" s="131"/>
      <c r="F14" s="132"/>
      <c r="G14" s="132"/>
      <c r="H14" s="132"/>
      <c r="I14" s="132"/>
      <c r="J14" s="132"/>
      <c r="K14" s="31"/>
      <c r="L14" s="31"/>
      <c r="M14" s="31" t="s">
        <v>324</v>
      </c>
      <c r="N14" s="124" t="s">
        <v>325</v>
      </c>
      <c r="O14" s="132"/>
      <c r="P14" s="31" t="s">
        <v>326</v>
      </c>
      <c r="Q14" s="124" t="s">
        <v>327</v>
      </c>
      <c r="R14" s="31"/>
      <c r="S14" s="31"/>
      <c r="T14" s="130"/>
      <c r="U14" s="31"/>
      <c r="V14" s="106"/>
      <c r="W14" s="128"/>
      <c r="Y14" s="127"/>
    </row>
    <row r="15" spans="2:25" s="129" customFormat="1" ht="22" customHeight="1">
      <c r="B15" s="127"/>
      <c r="C15" s="31" t="s">
        <v>328</v>
      </c>
      <c r="D15" s="124" t="s">
        <v>329</v>
      </c>
      <c r="E15" s="131"/>
      <c r="F15" s="132"/>
      <c r="G15" s="31"/>
      <c r="H15" s="31"/>
      <c r="I15" s="31"/>
      <c r="J15" s="31"/>
      <c r="K15" s="31"/>
      <c r="L15" s="31"/>
      <c r="M15" s="31" t="s">
        <v>219</v>
      </c>
      <c r="N15" s="124" t="s">
        <v>330</v>
      </c>
      <c r="O15" s="132"/>
      <c r="P15" s="31" t="s">
        <v>167</v>
      </c>
      <c r="Q15" s="124" t="s">
        <v>331</v>
      </c>
      <c r="R15" s="31"/>
      <c r="S15" s="31"/>
      <c r="T15" s="130"/>
      <c r="U15" s="31"/>
      <c r="V15" s="106"/>
      <c r="W15" s="128"/>
      <c r="Y15" s="127"/>
    </row>
    <row r="16" spans="2:25" s="129" customFormat="1" ht="22" customHeight="1">
      <c r="B16" s="127"/>
      <c r="C16" s="31" t="s">
        <v>332</v>
      </c>
      <c r="D16" s="124" t="s">
        <v>590</v>
      </c>
      <c r="E16" s="131"/>
      <c r="F16" s="132"/>
      <c r="G16" s="31"/>
      <c r="H16" s="31"/>
      <c r="I16" s="31"/>
      <c r="J16" s="31"/>
      <c r="K16" s="31"/>
      <c r="L16" s="31"/>
      <c r="M16" s="31" t="s">
        <v>333</v>
      </c>
      <c r="N16" s="124" t="s">
        <v>334</v>
      </c>
      <c r="O16" s="132"/>
      <c r="P16" s="31" t="s">
        <v>38</v>
      </c>
      <c r="Q16" s="124" t="s">
        <v>335</v>
      </c>
      <c r="R16" s="31"/>
      <c r="S16" s="31"/>
      <c r="T16" s="130"/>
      <c r="U16" s="31"/>
      <c r="V16" s="106"/>
      <c r="W16" s="128"/>
      <c r="Y16" s="127"/>
    </row>
    <row r="17" spans="2:25" s="129" customFormat="1" ht="22" customHeight="1">
      <c r="B17" s="127"/>
      <c r="C17" s="31" t="s">
        <v>336</v>
      </c>
      <c r="D17" s="124" t="s">
        <v>337</v>
      </c>
      <c r="E17" s="131"/>
      <c r="F17" s="132"/>
      <c r="G17" s="31"/>
      <c r="H17" s="31"/>
      <c r="I17" s="31"/>
      <c r="J17" s="31"/>
      <c r="K17" s="31"/>
      <c r="L17" s="31"/>
      <c r="M17" s="132"/>
      <c r="N17" s="124" t="s">
        <v>338</v>
      </c>
      <c r="O17" s="132"/>
      <c r="P17" s="31" t="s">
        <v>38</v>
      </c>
      <c r="Q17" s="124" t="s">
        <v>339</v>
      </c>
      <c r="R17" s="132"/>
      <c r="S17" s="132"/>
      <c r="T17" s="130"/>
      <c r="U17" s="132"/>
      <c r="V17" s="104"/>
      <c r="W17" s="128"/>
      <c r="Y17" s="127"/>
    </row>
    <row r="18" spans="2:25" s="129" customFormat="1" ht="22" customHeight="1">
      <c r="B18" s="127"/>
      <c r="C18" s="132"/>
      <c r="D18" s="132"/>
      <c r="E18" s="132"/>
      <c r="F18" s="132"/>
      <c r="G18" s="31"/>
      <c r="H18" s="31"/>
      <c r="I18" s="31"/>
      <c r="J18" s="31"/>
      <c r="K18" s="31"/>
      <c r="L18" s="31"/>
      <c r="M18" s="131"/>
      <c r="N18" s="161" t="s">
        <v>596</v>
      </c>
      <c r="O18" s="131"/>
      <c r="P18" s="31" t="s">
        <v>340</v>
      </c>
      <c r="Q18" s="161" t="s">
        <v>341</v>
      </c>
      <c r="R18" s="131"/>
      <c r="S18" s="132"/>
      <c r="T18" s="130"/>
      <c r="U18" s="132"/>
      <c r="V18" s="104"/>
      <c r="W18" s="128"/>
      <c r="Y18" s="127"/>
    </row>
    <row r="19" spans="2:25" s="129" customFormat="1" ht="37" customHeight="1">
      <c r="B19" s="127"/>
      <c r="C19" s="283" t="s">
        <v>625</v>
      </c>
      <c r="D19" s="283"/>
      <c r="E19" s="283"/>
      <c r="F19" s="283"/>
      <c r="G19" s="283"/>
      <c r="H19" s="283"/>
      <c r="I19" s="283"/>
      <c r="J19" s="283"/>
      <c r="K19" s="283"/>
      <c r="L19" s="283"/>
      <c r="M19" s="31" t="s">
        <v>236</v>
      </c>
      <c r="N19" s="124" t="s">
        <v>237</v>
      </c>
      <c r="O19" s="132"/>
      <c r="P19" s="31" t="s">
        <v>54</v>
      </c>
      <c r="Q19" s="162" t="s">
        <v>342</v>
      </c>
      <c r="R19" s="132"/>
      <c r="S19" s="31"/>
      <c r="T19" s="130"/>
      <c r="U19" s="132"/>
      <c r="V19" s="104"/>
      <c r="W19" s="128"/>
      <c r="Y19" s="127"/>
    </row>
    <row r="20" spans="2:25" s="129" customFormat="1" ht="22" customHeight="1">
      <c r="B20" s="127"/>
      <c r="C20" s="301"/>
      <c r="D20" s="293" t="s">
        <v>343</v>
      </c>
      <c r="E20" s="293"/>
      <c r="F20" s="293"/>
      <c r="G20" s="293"/>
      <c r="H20" s="293"/>
      <c r="I20" s="293"/>
      <c r="J20" s="293"/>
      <c r="K20" s="293"/>
      <c r="L20" s="293"/>
      <c r="M20" s="31" t="s">
        <v>118</v>
      </c>
      <c r="N20" s="124" t="s">
        <v>238</v>
      </c>
      <c r="O20" s="132"/>
      <c r="P20" s="31" t="s">
        <v>86</v>
      </c>
      <c r="Q20" s="162" t="s">
        <v>344</v>
      </c>
      <c r="R20" s="132"/>
      <c r="S20" s="31"/>
      <c r="T20" s="130"/>
      <c r="U20" s="31"/>
      <c r="V20" s="106"/>
      <c r="W20" s="128"/>
      <c r="Y20" s="127"/>
    </row>
    <row r="21" spans="2:25" s="129" customFormat="1" ht="22" customHeight="1">
      <c r="B21" s="127"/>
      <c r="C21" s="301"/>
      <c r="D21" s="293"/>
      <c r="E21" s="293"/>
      <c r="F21" s="293"/>
      <c r="G21" s="293"/>
      <c r="H21" s="293"/>
      <c r="I21" s="293"/>
      <c r="J21" s="293"/>
      <c r="K21" s="293"/>
      <c r="L21" s="293"/>
      <c r="M21" s="31" t="s">
        <v>345</v>
      </c>
      <c r="N21" s="124" t="s">
        <v>346</v>
      </c>
      <c r="O21" s="31"/>
      <c r="P21" s="31" t="s">
        <v>147</v>
      </c>
      <c r="Q21" s="124" t="s">
        <v>347</v>
      </c>
      <c r="R21" s="31"/>
      <c r="S21" s="31"/>
      <c r="T21" s="130"/>
      <c r="U21" s="31"/>
      <c r="V21" s="106"/>
      <c r="W21" s="128"/>
      <c r="Y21" s="127"/>
    </row>
    <row r="22" spans="2:25" s="129" customFormat="1" ht="22" customHeight="1">
      <c r="B22" s="127"/>
      <c r="C22" s="301"/>
      <c r="D22" s="293" t="s">
        <v>350</v>
      </c>
      <c r="E22" s="293"/>
      <c r="F22" s="293"/>
      <c r="G22" s="293"/>
      <c r="H22" s="293"/>
      <c r="I22" s="293"/>
      <c r="J22" s="293"/>
      <c r="K22" s="293"/>
      <c r="L22" s="293"/>
      <c r="M22" s="31"/>
      <c r="N22" s="124" t="s">
        <v>348</v>
      </c>
      <c r="O22" s="31"/>
      <c r="P22" s="31" t="s">
        <v>147</v>
      </c>
      <c r="Q22" s="124" t="s">
        <v>349</v>
      </c>
      <c r="R22" s="31"/>
      <c r="S22" s="131"/>
      <c r="T22" s="131"/>
      <c r="U22" s="31"/>
      <c r="V22" s="106"/>
      <c r="W22" s="128"/>
      <c r="Y22" s="127"/>
    </row>
    <row r="23" spans="2:25" s="129" customFormat="1" ht="22" customHeight="1">
      <c r="B23" s="127"/>
      <c r="C23" s="301"/>
      <c r="D23" s="293"/>
      <c r="E23" s="293"/>
      <c r="F23" s="293"/>
      <c r="G23" s="293"/>
      <c r="H23" s="293"/>
      <c r="I23" s="293"/>
      <c r="J23" s="293"/>
      <c r="K23" s="293"/>
      <c r="L23" s="293"/>
      <c r="M23" s="132" t="s">
        <v>351</v>
      </c>
      <c r="N23" s="164" t="s">
        <v>352</v>
      </c>
      <c r="O23" s="132"/>
      <c r="P23" s="31" t="s">
        <v>72</v>
      </c>
      <c r="Q23" s="124" t="s">
        <v>353</v>
      </c>
      <c r="R23" s="31"/>
      <c r="S23" s="31"/>
      <c r="T23" s="130"/>
      <c r="U23" s="31"/>
      <c r="V23" s="128"/>
      <c r="W23" s="128"/>
      <c r="Y23" s="127"/>
    </row>
    <row r="24" spans="2:25" s="129" customFormat="1" ht="22" customHeight="1">
      <c r="B24" s="127"/>
      <c r="C24" s="301"/>
      <c r="D24" s="293" t="s">
        <v>357</v>
      </c>
      <c r="E24" s="293"/>
      <c r="F24" s="293"/>
      <c r="G24" s="293"/>
      <c r="H24" s="293"/>
      <c r="I24" s="293"/>
      <c r="J24" s="293"/>
      <c r="K24" s="293"/>
      <c r="L24" s="293"/>
      <c r="M24" s="132" t="s">
        <v>71</v>
      </c>
      <c r="N24" s="124" t="s">
        <v>354</v>
      </c>
      <c r="O24" s="132"/>
      <c r="P24" s="31" t="s">
        <v>72</v>
      </c>
      <c r="Q24" s="124" t="s">
        <v>355</v>
      </c>
      <c r="R24" s="137">
        <f>8.854187*10^-12</f>
        <v>8.8541869999999989E-12</v>
      </c>
      <c r="S24" s="31" t="s">
        <v>72</v>
      </c>
      <c r="T24" s="159" t="s">
        <v>356</v>
      </c>
      <c r="U24" s="31"/>
      <c r="V24" s="106"/>
      <c r="W24" s="128"/>
      <c r="Y24" s="127"/>
    </row>
    <row r="25" spans="2:25" s="129" customFormat="1" ht="22" customHeight="1">
      <c r="B25" s="127"/>
      <c r="C25" s="301"/>
      <c r="D25" s="293"/>
      <c r="E25" s="293"/>
      <c r="F25" s="293"/>
      <c r="G25" s="293"/>
      <c r="H25" s="293"/>
      <c r="I25" s="293"/>
      <c r="J25" s="293"/>
      <c r="K25" s="293"/>
      <c r="L25" s="293"/>
      <c r="M25" s="132" t="s">
        <v>358</v>
      </c>
      <c r="N25" s="161" t="s">
        <v>359</v>
      </c>
      <c r="O25" s="132"/>
      <c r="P25" s="136" t="s">
        <v>360</v>
      </c>
      <c r="Q25" s="124" t="s">
        <v>361</v>
      </c>
      <c r="R25" s="31"/>
      <c r="S25" s="31"/>
      <c r="T25" s="31"/>
      <c r="U25" s="31"/>
      <c r="V25" s="106"/>
      <c r="W25" s="128"/>
      <c r="Y25" s="127"/>
    </row>
    <row r="26" spans="2:25" s="129" customFormat="1" ht="22" customHeight="1">
      <c r="B26" s="127"/>
      <c r="C26" s="301"/>
      <c r="D26" s="293" t="s">
        <v>365</v>
      </c>
      <c r="E26" s="293"/>
      <c r="F26" s="293"/>
      <c r="G26" s="293"/>
      <c r="H26" s="293"/>
      <c r="I26" s="293"/>
      <c r="J26" s="293"/>
      <c r="K26" s="293"/>
      <c r="L26" s="293"/>
      <c r="M26" s="132" t="s">
        <v>362</v>
      </c>
      <c r="N26" s="165" t="s">
        <v>363</v>
      </c>
      <c r="O26" s="132"/>
      <c r="P26" s="31" t="s">
        <v>75</v>
      </c>
      <c r="Q26" s="124" t="s">
        <v>364</v>
      </c>
      <c r="R26" s="31"/>
      <c r="S26" s="31"/>
      <c r="T26" s="31"/>
      <c r="U26" s="31"/>
      <c r="V26" s="106"/>
      <c r="W26" s="128"/>
      <c r="Y26" s="127"/>
    </row>
    <row r="27" spans="2:25" s="129" customFormat="1" ht="22" customHeight="1">
      <c r="B27" s="127"/>
      <c r="C27" s="301"/>
      <c r="D27" s="293"/>
      <c r="E27" s="293"/>
      <c r="F27" s="293"/>
      <c r="G27" s="293"/>
      <c r="H27" s="293"/>
      <c r="I27" s="293"/>
      <c r="J27" s="293"/>
      <c r="K27" s="293"/>
      <c r="L27" s="293"/>
      <c r="M27" s="31" t="s">
        <v>74</v>
      </c>
      <c r="N27" s="161" t="s">
        <v>366</v>
      </c>
      <c r="O27" s="132"/>
      <c r="P27" s="31" t="s">
        <v>75</v>
      </c>
      <c r="Q27" s="163" t="s">
        <v>355</v>
      </c>
      <c r="R27" s="139">
        <f>1.256637*10^-6</f>
        <v>1.2566369999999999E-6</v>
      </c>
      <c r="S27" s="105" t="s">
        <v>75</v>
      </c>
      <c r="T27" s="159" t="s">
        <v>356</v>
      </c>
      <c r="U27" s="31"/>
      <c r="V27" s="106"/>
      <c r="W27" s="128"/>
      <c r="Y27" s="127"/>
    </row>
    <row r="28" spans="2:25" s="129" customFormat="1" ht="22" customHeight="1">
      <c r="B28" s="127"/>
      <c r="C28" s="301"/>
      <c r="D28" s="293" t="s">
        <v>372</v>
      </c>
      <c r="E28" s="293"/>
      <c r="F28" s="293"/>
      <c r="G28" s="293"/>
      <c r="H28" s="293"/>
      <c r="I28" s="293"/>
      <c r="J28" s="293"/>
      <c r="K28" s="293"/>
      <c r="L28" s="293"/>
      <c r="M28" s="132" t="s">
        <v>367</v>
      </c>
      <c r="N28" s="161" t="s">
        <v>368</v>
      </c>
      <c r="O28" s="132"/>
      <c r="P28" s="140" t="s">
        <v>360</v>
      </c>
      <c r="Q28" s="124" t="s">
        <v>361</v>
      </c>
      <c r="R28" s="31"/>
      <c r="S28" s="31"/>
      <c r="T28" s="130"/>
      <c r="U28" s="31"/>
      <c r="V28" s="106"/>
      <c r="W28" s="128"/>
      <c r="Y28" s="127"/>
    </row>
    <row r="29" spans="2:25" s="129" customFormat="1" ht="22" customHeight="1">
      <c r="B29" s="127"/>
      <c r="C29" s="301"/>
      <c r="D29" s="293"/>
      <c r="E29" s="293"/>
      <c r="F29" s="293"/>
      <c r="G29" s="293"/>
      <c r="H29" s="293"/>
      <c r="I29" s="293"/>
      <c r="J29" s="293"/>
      <c r="K29" s="293"/>
      <c r="L29" s="293"/>
      <c r="M29" s="132" t="s">
        <v>369</v>
      </c>
      <c r="N29" s="161" t="s">
        <v>370</v>
      </c>
      <c r="O29" s="132"/>
      <c r="P29" s="31" t="s">
        <v>298</v>
      </c>
      <c r="Q29" s="124" t="s">
        <v>371</v>
      </c>
      <c r="R29" s="31"/>
      <c r="S29" s="31"/>
      <c r="T29" s="130"/>
      <c r="U29" s="31"/>
      <c r="V29" s="106"/>
      <c r="W29" s="128"/>
      <c r="Y29" s="127"/>
    </row>
    <row r="30" spans="2:25" s="129" customFormat="1" ht="22" customHeight="1">
      <c r="B30" s="127"/>
      <c r="C30" s="132"/>
      <c r="D30" s="132"/>
      <c r="E30" s="132"/>
      <c r="F30" s="132"/>
      <c r="G30" s="132"/>
      <c r="H30" s="132"/>
      <c r="I30" s="132"/>
      <c r="J30" s="132"/>
      <c r="K30" s="132"/>
      <c r="L30" s="132"/>
      <c r="M30" s="31" t="s">
        <v>373</v>
      </c>
      <c r="N30" s="124" t="s">
        <v>180</v>
      </c>
      <c r="O30" s="132"/>
      <c r="P30" s="31" t="s">
        <v>177</v>
      </c>
      <c r="Q30" s="164" t="s">
        <v>374</v>
      </c>
      <c r="R30" s="31"/>
      <c r="S30" s="31"/>
      <c r="T30" s="130"/>
      <c r="U30" s="31"/>
      <c r="Y30" s="127"/>
    </row>
    <row r="31" spans="2:25" s="129" customFormat="1" ht="40" customHeight="1">
      <c r="B31" s="127"/>
      <c r="C31" s="283" t="s">
        <v>626</v>
      </c>
      <c r="D31" s="283"/>
      <c r="E31" s="283"/>
      <c r="F31" s="283"/>
      <c r="G31" s="283"/>
      <c r="H31" s="283"/>
      <c r="I31" s="283"/>
      <c r="J31" s="283"/>
      <c r="K31" s="283"/>
      <c r="L31" s="283"/>
      <c r="M31" s="132" t="s">
        <v>246</v>
      </c>
      <c r="N31" s="124" t="s">
        <v>375</v>
      </c>
      <c r="O31" s="132"/>
      <c r="P31" s="31" t="s">
        <v>248</v>
      </c>
      <c r="Q31" s="124" t="s">
        <v>595</v>
      </c>
      <c r="R31" s="132"/>
      <c r="S31" s="132"/>
      <c r="T31" s="130"/>
      <c r="U31" s="132"/>
      <c r="Y31" s="127"/>
    </row>
    <row r="32" spans="2:25" s="129" customFormat="1" ht="9" customHeight="1">
      <c r="B32" s="127"/>
      <c r="C32" s="263"/>
      <c r="D32" s="263"/>
      <c r="E32" s="263"/>
      <c r="F32" s="263"/>
      <c r="G32" s="263"/>
      <c r="H32" s="263"/>
      <c r="I32" s="263"/>
      <c r="J32" s="263"/>
      <c r="K32" s="263"/>
      <c r="L32" s="263"/>
      <c r="M32" s="237"/>
      <c r="N32" s="235"/>
      <c r="O32" s="237"/>
      <c r="P32" s="31"/>
      <c r="Q32" s="235"/>
      <c r="R32" s="237"/>
      <c r="S32" s="237"/>
      <c r="T32" s="130"/>
      <c r="U32" s="237"/>
      <c r="Y32" s="127"/>
    </row>
    <row r="33" spans="2:25" s="129" customFormat="1" ht="22" customHeight="1">
      <c r="B33" s="127"/>
      <c r="C33" s="305" t="s">
        <v>382</v>
      </c>
      <c r="D33" s="306"/>
      <c r="E33" s="124" t="s">
        <v>383</v>
      </c>
      <c r="F33" s="132"/>
      <c r="G33" s="132"/>
      <c r="H33" s="132"/>
      <c r="I33" s="132"/>
      <c r="J33" s="132"/>
      <c r="K33" s="132"/>
      <c r="L33" s="132"/>
      <c r="M33" s="31" t="s">
        <v>376</v>
      </c>
      <c r="N33" s="124" t="s">
        <v>377</v>
      </c>
      <c r="O33" s="132"/>
      <c r="P33" s="140" t="s">
        <v>360</v>
      </c>
      <c r="Q33" s="124" t="s">
        <v>378</v>
      </c>
      <c r="R33" s="31"/>
      <c r="S33" s="132"/>
      <c r="T33" s="130"/>
      <c r="U33" s="131"/>
      <c r="Y33" s="127"/>
    </row>
    <row r="34" spans="2:25" s="129" customFormat="1" ht="22" customHeight="1">
      <c r="B34" s="127"/>
      <c r="C34" s="307" t="s">
        <v>385</v>
      </c>
      <c r="D34" s="308"/>
      <c r="E34" s="124" t="s">
        <v>386</v>
      </c>
      <c r="F34" s="132"/>
      <c r="G34" s="132"/>
      <c r="H34" s="132"/>
      <c r="I34" s="132"/>
      <c r="J34" s="132"/>
      <c r="K34" s="132"/>
      <c r="L34" s="132"/>
      <c r="M34" s="31" t="s">
        <v>379</v>
      </c>
      <c r="N34" s="124" t="s">
        <v>380</v>
      </c>
      <c r="O34" s="132"/>
      <c r="P34" s="140" t="s">
        <v>360</v>
      </c>
      <c r="Q34" s="124" t="s">
        <v>381</v>
      </c>
      <c r="R34" s="31"/>
      <c r="S34" s="31"/>
      <c r="T34" s="130"/>
      <c r="U34" s="131"/>
      <c r="Y34" s="127"/>
    </row>
    <row r="35" spans="2:25" s="129" customFormat="1" ht="22" customHeight="1">
      <c r="B35" s="127"/>
      <c r="C35" s="307" t="s">
        <v>387</v>
      </c>
      <c r="D35" s="308"/>
      <c r="E35" s="124" t="s">
        <v>388</v>
      </c>
      <c r="F35" s="132"/>
      <c r="G35" s="132"/>
      <c r="H35" s="132"/>
      <c r="I35" s="132"/>
      <c r="J35" s="132"/>
      <c r="K35" s="132"/>
      <c r="L35" s="132"/>
      <c r="M35" s="131"/>
      <c r="N35" s="131"/>
      <c r="O35" s="131"/>
      <c r="P35" s="131"/>
      <c r="Q35" s="131"/>
      <c r="R35" s="131"/>
      <c r="S35" s="131"/>
      <c r="T35" s="131"/>
      <c r="U35" s="131"/>
      <c r="Y35" s="127"/>
    </row>
    <row r="36" spans="2:25" s="129" customFormat="1" ht="22" customHeight="1">
      <c r="B36" s="127"/>
      <c r="C36" s="309" t="s">
        <v>391</v>
      </c>
      <c r="D36" s="310"/>
      <c r="E36" s="124" t="s">
        <v>593</v>
      </c>
      <c r="F36" s="132"/>
      <c r="G36" s="132"/>
      <c r="H36" s="132"/>
      <c r="I36" s="132"/>
      <c r="J36" s="132"/>
      <c r="K36" s="132"/>
      <c r="L36" s="132"/>
      <c r="M36" s="131"/>
      <c r="N36" s="131"/>
      <c r="Y36" s="127"/>
    </row>
    <row r="37" spans="2:25" s="129" customFormat="1" ht="22" customHeight="1">
      <c r="B37" s="127"/>
      <c r="C37" s="294" t="s">
        <v>395</v>
      </c>
      <c r="D37" s="294"/>
      <c r="E37" s="294"/>
      <c r="F37" s="294"/>
      <c r="G37" s="294"/>
      <c r="H37" s="294"/>
      <c r="I37" s="294"/>
      <c r="J37" s="294"/>
      <c r="K37" s="294"/>
      <c r="L37" s="294"/>
      <c r="M37" s="131"/>
      <c r="N37" s="131"/>
      <c r="Y37" s="127"/>
    </row>
    <row r="38" spans="2:25" s="129" customFormat="1" ht="22" customHeight="1">
      <c r="B38" s="127"/>
      <c r="C38" s="294"/>
      <c r="D38" s="294"/>
      <c r="E38" s="294"/>
      <c r="F38" s="294"/>
      <c r="G38" s="294"/>
      <c r="H38" s="294"/>
      <c r="I38" s="294"/>
      <c r="J38" s="294"/>
      <c r="K38" s="294"/>
      <c r="L38" s="294"/>
      <c r="M38" s="131"/>
      <c r="N38" s="131"/>
      <c r="Y38" s="127"/>
    </row>
    <row r="39" spans="2:25" s="129" customFormat="1" ht="22" customHeight="1">
      <c r="B39" s="127"/>
      <c r="C39" s="294"/>
      <c r="D39" s="294"/>
      <c r="E39" s="294"/>
      <c r="F39" s="294"/>
      <c r="G39" s="294"/>
      <c r="H39" s="294"/>
      <c r="I39" s="294"/>
      <c r="J39" s="294"/>
      <c r="K39" s="294"/>
      <c r="L39" s="294"/>
      <c r="M39" s="131"/>
      <c r="N39" s="131"/>
      <c r="Y39" s="127"/>
    </row>
    <row r="40" spans="2:25" s="129" customFormat="1" ht="22" customHeight="1">
      <c r="B40" s="127"/>
      <c r="C40" s="132"/>
      <c r="D40" s="302" t="s">
        <v>403</v>
      </c>
      <c r="E40" s="303"/>
      <c r="F40" s="303"/>
      <c r="G40" s="303"/>
      <c r="H40" s="303"/>
      <c r="I40" s="303"/>
      <c r="J40" s="303"/>
      <c r="K40" s="303"/>
      <c r="L40" s="304"/>
      <c r="M40" s="131"/>
      <c r="N40" s="264" t="s">
        <v>384</v>
      </c>
      <c r="O40" s="265"/>
      <c r="P40" s="265"/>
      <c r="Q40" s="265"/>
      <c r="R40" s="265"/>
      <c r="S40" s="266"/>
      <c r="Y40" s="127"/>
    </row>
    <row r="41" spans="2:25" s="129" customFormat="1" ht="22" customHeight="1">
      <c r="B41" s="127"/>
      <c r="C41" s="132"/>
      <c r="D41" s="149" t="s">
        <v>406</v>
      </c>
      <c r="E41" s="121"/>
      <c r="F41" s="150" t="s">
        <v>407</v>
      </c>
      <c r="G41" s="132"/>
      <c r="H41" s="132"/>
      <c r="I41" s="121"/>
      <c r="J41" s="121" t="s">
        <v>408</v>
      </c>
      <c r="K41" s="132"/>
      <c r="L41" s="142"/>
      <c r="M41" s="131"/>
      <c r="N41" s="141"/>
      <c r="O41" s="299" t="s">
        <v>627</v>
      </c>
      <c r="P41" s="299"/>
      <c r="Q41" s="267" t="s">
        <v>628</v>
      </c>
      <c r="R41" s="132"/>
      <c r="S41" s="142"/>
      <c r="Y41" s="127"/>
    </row>
    <row r="42" spans="2:25" s="129" customFormat="1" ht="22" customHeight="1">
      <c r="B42" s="127"/>
      <c r="C42" s="132"/>
      <c r="D42" s="155" t="s">
        <v>409</v>
      </c>
      <c r="E42" s="132"/>
      <c r="F42" s="139">
        <f>1/(R24*R27)</f>
        <v>8.9875530566976704E+16</v>
      </c>
      <c r="G42" s="105" t="s">
        <v>410</v>
      </c>
      <c r="H42" s="124" t="s">
        <v>411</v>
      </c>
      <c r="I42" s="130"/>
      <c r="J42" s="132"/>
      <c r="K42" s="132"/>
      <c r="L42" s="142"/>
      <c r="M42" s="131"/>
      <c r="N42" s="156" t="s">
        <v>389</v>
      </c>
      <c r="O42" s="297">
        <v>1.000594</v>
      </c>
      <c r="P42" s="297"/>
      <c r="Q42" s="31">
        <v>1.0000009999999999</v>
      </c>
      <c r="R42" s="124" t="s">
        <v>390</v>
      </c>
      <c r="S42" s="142"/>
      <c r="Y42" s="127"/>
    </row>
    <row r="43" spans="2:25" s="129" customFormat="1" ht="22" customHeight="1">
      <c r="B43" s="127"/>
      <c r="C43" s="132"/>
      <c r="D43" s="155" t="s">
        <v>412</v>
      </c>
      <c r="E43" s="132"/>
      <c r="F43" s="139">
        <f>F42^0.5</f>
        <v>299792479.17013645</v>
      </c>
      <c r="G43" s="105" t="s">
        <v>35</v>
      </c>
      <c r="H43" s="124" t="s">
        <v>413</v>
      </c>
      <c r="I43" s="130"/>
      <c r="J43" s="132"/>
      <c r="K43" s="132"/>
      <c r="L43" s="142"/>
      <c r="M43" s="131"/>
      <c r="N43" s="156" t="s">
        <v>392</v>
      </c>
      <c r="O43" s="297" t="s">
        <v>393</v>
      </c>
      <c r="P43" s="297"/>
      <c r="Q43" s="31" t="s">
        <v>394</v>
      </c>
      <c r="R43" s="124"/>
      <c r="S43" s="142"/>
      <c r="Y43" s="127"/>
    </row>
    <row r="44" spans="2:25" s="129" customFormat="1" ht="22" customHeight="1">
      <c r="B44" s="127"/>
      <c r="C44" s="132"/>
      <c r="D44" s="155" t="s">
        <v>414</v>
      </c>
      <c r="E44" s="132"/>
      <c r="F44" s="139">
        <f>1/(R27*F42)</f>
        <v>8.8541869999999989E-12</v>
      </c>
      <c r="G44" s="105" t="s">
        <v>72</v>
      </c>
      <c r="H44" s="124" t="s">
        <v>415</v>
      </c>
      <c r="I44" s="130"/>
      <c r="J44" s="132"/>
      <c r="K44" s="132"/>
      <c r="L44" s="142"/>
      <c r="M44" s="131"/>
      <c r="N44" s="156" t="s">
        <v>396</v>
      </c>
      <c r="O44" s="297">
        <v>80</v>
      </c>
      <c r="P44" s="297"/>
      <c r="Q44" s="144">
        <v>0.99999097000000003</v>
      </c>
      <c r="R44" s="235" t="s">
        <v>397</v>
      </c>
      <c r="S44" s="142"/>
      <c r="U44" s="131"/>
      <c r="Y44" s="127"/>
    </row>
    <row r="45" spans="2:25" s="129" customFormat="1" ht="22" customHeight="1">
      <c r="B45" s="127"/>
      <c r="C45" s="132"/>
      <c r="D45" s="156" t="s">
        <v>416</v>
      </c>
      <c r="E45" s="132"/>
      <c r="F45" s="151">
        <f>1/F44/(4*PI())</f>
        <v>8987552617.3038445</v>
      </c>
      <c r="G45" s="105" t="s">
        <v>326</v>
      </c>
      <c r="H45" s="124" t="s">
        <v>417</v>
      </c>
      <c r="I45" s="130"/>
      <c r="J45" s="132"/>
      <c r="K45" s="132"/>
      <c r="L45" s="142"/>
      <c r="M45" s="131"/>
      <c r="N45" s="156" t="s">
        <v>398</v>
      </c>
      <c r="O45" s="300" t="s">
        <v>399</v>
      </c>
      <c r="P45" s="300"/>
      <c r="Q45" s="144">
        <v>0.99999360000000004</v>
      </c>
      <c r="R45" s="235" t="s">
        <v>397</v>
      </c>
      <c r="S45" s="142"/>
      <c r="U45" s="131"/>
      <c r="Y45" s="127"/>
    </row>
    <row r="46" spans="2:25" s="129" customFormat="1" ht="22" customHeight="1">
      <c r="B46" s="127"/>
      <c r="C46" s="132"/>
      <c r="D46" s="154" t="s">
        <v>418</v>
      </c>
      <c r="E46" s="148"/>
      <c r="F46" s="152">
        <f>R27/(4*PI())</f>
        <v>9.999999511108504E-8</v>
      </c>
      <c r="G46" s="157" t="s">
        <v>75</v>
      </c>
      <c r="H46" s="158" t="s">
        <v>594</v>
      </c>
      <c r="I46" s="146"/>
      <c r="J46" s="148"/>
      <c r="K46" s="148"/>
      <c r="L46" s="143"/>
      <c r="M46" s="131"/>
      <c r="N46" s="156" t="s">
        <v>400</v>
      </c>
      <c r="O46" s="297" t="s">
        <v>401</v>
      </c>
      <c r="P46" s="297"/>
      <c r="Q46" s="145">
        <v>2000</v>
      </c>
      <c r="R46" s="235" t="s">
        <v>402</v>
      </c>
      <c r="S46" s="142"/>
      <c r="U46" s="131"/>
      <c r="Y46" s="127"/>
    </row>
    <row r="47" spans="2:25">
      <c r="B47" s="1"/>
      <c r="C47" s="2"/>
      <c r="D47" s="2"/>
      <c r="E47" s="2"/>
      <c r="F47" s="2"/>
      <c r="G47" s="2"/>
      <c r="H47" s="2"/>
      <c r="I47" s="2"/>
      <c r="J47" s="2"/>
      <c r="K47" s="2"/>
      <c r="L47" s="2"/>
      <c r="M47" s="2"/>
      <c r="N47" s="236" t="s">
        <v>404</v>
      </c>
      <c r="O47" s="298" t="s">
        <v>405</v>
      </c>
      <c r="P47" s="298"/>
      <c r="Q47" s="147">
        <v>0</v>
      </c>
      <c r="R47" s="148"/>
      <c r="S47" s="143"/>
      <c r="U47" s="2"/>
      <c r="V47" s="2"/>
      <c r="W47" s="2"/>
      <c r="X47" s="3"/>
    </row>
    <row r="48" spans="2:25" ht="8" customHeight="1">
      <c r="B48" s="38"/>
      <c r="C48" s="39"/>
      <c r="D48" s="39"/>
      <c r="E48" s="39"/>
      <c r="F48" s="39"/>
      <c r="G48" s="39"/>
      <c r="H48" s="39"/>
      <c r="I48" s="39"/>
      <c r="J48" s="39"/>
      <c r="K48" s="39"/>
      <c r="L48" s="39"/>
      <c r="M48" s="39"/>
      <c r="N48" s="39"/>
      <c r="O48" s="39"/>
      <c r="P48" s="39"/>
      <c r="Q48" s="39"/>
      <c r="R48" s="39"/>
      <c r="S48" s="39"/>
      <c r="T48" s="39"/>
      <c r="U48" s="39"/>
      <c r="V48" s="39"/>
      <c r="W48" s="39"/>
      <c r="X48" s="40"/>
    </row>
  </sheetData>
  <mergeCells count="29">
    <mergeCell ref="D40:L40"/>
    <mergeCell ref="M3:O3"/>
    <mergeCell ref="C20:C21"/>
    <mergeCell ref="D20:L21"/>
    <mergeCell ref="C24:C25"/>
    <mergeCell ref="D24:L25"/>
    <mergeCell ref="C33:D33"/>
    <mergeCell ref="C34:D34"/>
    <mergeCell ref="C35:D35"/>
    <mergeCell ref="C37:L39"/>
    <mergeCell ref="C36:D36"/>
    <mergeCell ref="C3:L3"/>
    <mergeCell ref="C7:L7"/>
    <mergeCell ref="C12:L12"/>
    <mergeCell ref="C19:L19"/>
    <mergeCell ref="C31:L31"/>
    <mergeCell ref="C22:C23"/>
    <mergeCell ref="D22:L23"/>
    <mergeCell ref="C26:C27"/>
    <mergeCell ref="D26:L27"/>
    <mergeCell ref="C28:C29"/>
    <mergeCell ref="D28:L29"/>
    <mergeCell ref="O46:P46"/>
    <mergeCell ref="O47:P47"/>
    <mergeCell ref="O41:P41"/>
    <mergeCell ref="O42:P42"/>
    <mergeCell ref="O43:P43"/>
    <mergeCell ref="O44:P44"/>
    <mergeCell ref="O45:P45"/>
  </mergeCells>
  <pageMargins left="0.75" right="0.75" top="1" bottom="1" header="0.5" footer="0.5"/>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0"/>
  <sheetViews>
    <sheetView showGridLines="0" tabSelected="1" showRuler="0" workbookViewId="0"/>
  </sheetViews>
  <sheetFormatPr baseColWidth="10" defaultRowHeight="15" x14ac:dyDescent="0"/>
  <cols>
    <col min="1" max="1" width="2.33203125" customWidth="1"/>
    <col min="2" max="2" width="1.6640625" customWidth="1"/>
    <col min="3" max="3" width="16.33203125" customWidth="1"/>
    <col min="5" max="5" width="21.33203125" customWidth="1"/>
    <col min="8" max="8" width="12" customWidth="1"/>
    <col min="9" max="9" width="7.1640625" customWidth="1"/>
    <col min="12" max="12" width="5.5" customWidth="1"/>
    <col min="13" max="13" width="2" customWidth="1"/>
  </cols>
  <sheetData>
    <row r="1" spans="2:13" ht="34" customHeight="1">
      <c r="B1" s="268" t="s">
        <v>629</v>
      </c>
      <c r="C1" s="268"/>
      <c r="D1" s="268"/>
      <c r="E1" s="268"/>
      <c r="F1" s="268"/>
      <c r="G1" s="268"/>
      <c r="H1" s="268"/>
      <c r="I1" s="268"/>
      <c r="J1" s="268"/>
      <c r="K1" s="268"/>
      <c r="L1" s="268"/>
      <c r="M1" s="268"/>
    </row>
    <row r="2" spans="2:13" ht="10" customHeight="1">
      <c r="B2" s="1"/>
      <c r="C2" s="97"/>
      <c r="D2" s="97"/>
      <c r="E2" s="97"/>
      <c r="F2" s="97"/>
      <c r="G2" s="97"/>
      <c r="H2" s="97"/>
      <c r="I2" s="97"/>
      <c r="J2" s="2"/>
      <c r="K2" s="2"/>
      <c r="L2" s="2"/>
      <c r="M2" s="3"/>
    </row>
    <row r="3" spans="2:13" ht="34" customHeight="1">
      <c r="B3" s="1"/>
      <c r="C3" s="283" t="s">
        <v>471</v>
      </c>
      <c r="D3" s="283"/>
      <c r="E3" s="283"/>
      <c r="F3" s="283"/>
      <c r="G3" s="283"/>
      <c r="H3" s="283"/>
      <c r="I3" s="283"/>
      <c r="J3" s="283"/>
      <c r="K3" s="283"/>
      <c r="L3" s="283"/>
      <c r="M3" s="3"/>
    </row>
    <row r="4" spans="2:13" s="107" customFormat="1" ht="22" customHeight="1">
      <c r="B4" s="113"/>
      <c r="C4" s="103" t="s">
        <v>472</v>
      </c>
      <c r="D4" s="187" t="s">
        <v>473</v>
      </c>
      <c r="E4" s="117"/>
      <c r="F4" s="103"/>
      <c r="G4" s="103"/>
      <c r="H4" s="103"/>
      <c r="I4" s="103"/>
      <c r="J4" s="117"/>
      <c r="K4" s="117"/>
      <c r="L4" s="115"/>
      <c r="M4" s="116"/>
    </row>
    <row r="5" spans="2:13" s="107" customFormat="1" ht="22" customHeight="1">
      <c r="B5" s="113"/>
      <c r="C5" s="103" t="s">
        <v>474</v>
      </c>
      <c r="D5" s="187" t="s">
        <v>475</v>
      </c>
      <c r="E5" s="117"/>
      <c r="F5" s="103"/>
      <c r="G5" s="103"/>
      <c r="H5" s="103"/>
      <c r="I5" s="103"/>
      <c r="J5" s="117"/>
      <c r="K5" s="117"/>
      <c r="L5" s="115"/>
      <c r="M5" s="116"/>
    </row>
    <row r="6" spans="2:13" s="107" customFormat="1" ht="22" customHeight="1">
      <c r="B6" s="113"/>
      <c r="C6" s="103" t="s">
        <v>476</v>
      </c>
      <c r="D6" s="187" t="s">
        <v>477</v>
      </c>
      <c r="E6" s="117"/>
      <c r="F6" s="103"/>
      <c r="G6" s="103"/>
      <c r="H6" s="103"/>
      <c r="I6" s="103"/>
      <c r="J6" s="117"/>
      <c r="K6" s="117"/>
      <c r="L6" s="115"/>
      <c r="M6" s="116"/>
    </row>
    <row r="7" spans="2:13">
      <c r="B7" s="1"/>
      <c r="C7" s="6" t="s">
        <v>427</v>
      </c>
      <c r="D7" s="6"/>
      <c r="E7" s="5"/>
      <c r="F7" s="6"/>
      <c r="G7" s="6"/>
      <c r="H7" s="6"/>
      <c r="I7" s="6"/>
      <c r="J7" s="5"/>
      <c r="K7" s="5"/>
      <c r="L7" s="2"/>
      <c r="M7" s="3"/>
    </row>
    <row r="8" spans="2:13" s="107" customFormat="1" ht="18" customHeight="1">
      <c r="B8" s="113"/>
      <c r="C8" s="103" t="s">
        <v>192</v>
      </c>
      <c r="D8" s="103"/>
      <c r="E8" s="117"/>
      <c r="F8" s="103"/>
      <c r="G8" s="103"/>
      <c r="H8" s="103"/>
      <c r="I8" s="103"/>
      <c r="J8" s="117"/>
      <c r="K8" s="117"/>
      <c r="L8" s="115"/>
      <c r="M8" s="116"/>
    </row>
    <row r="9" spans="2:13" s="107" customFormat="1" ht="18" customHeight="1">
      <c r="B9" s="113"/>
      <c r="C9" s="105" t="s">
        <v>478</v>
      </c>
      <c r="D9" s="103"/>
      <c r="E9" s="117"/>
      <c r="F9" s="103"/>
      <c r="G9" s="103"/>
      <c r="H9" s="103"/>
      <c r="I9" s="103"/>
      <c r="J9" s="117"/>
      <c r="K9" s="117"/>
      <c r="L9" s="115"/>
      <c r="M9" s="116"/>
    </row>
    <row r="10" spans="2:13" s="107" customFormat="1" ht="18" customHeight="1">
      <c r="B10" s="113"/>
      <c r="C10" s="117"/>
      <c r="D10" s="167" t="s">
        <v>190</v>
      </c>
      <c r="E10" s="117"/>
      <c r="F10" s="122" t="s">
        <v>78</v>
      </c>
      <c r="G10" s="122" t="s">
        <v>479</v>
      </c>
      <c r="H10" s="117"/>
      <c r="I10" s="103"/>
      <c r="J10" s="117"/>
      <c r="K10" s="117"/>
      <c r="L10" s="115"/>
      <c r="M10" s="116"/>
    </row>
    <row r="11" spans="2:13" s="107" customFormat="1" ht="18" customHeight="1">
      <c r="B11" s="113"/>
      <c r="C11" s="103"/>
      <c r="D11" s="118" t="s">
        <v>199</v>
      </c>
      <c r="E11" s="103" t="s">
        <v>480</v>
      </c>
      <c r="F11" s="103" t="s">
        <v>122</v>
      </c>
      <c r="G11" s="103" t="s">
        <v>481</v>
      </c>
      <c r="H11" s="103"/>
      <c r="I11" s="103"/>
      <c r="J11" s="117"/>
      <c r="K11" s="117"/>
      <c r="L11" s="115"/>
      <c r="M11" s="116"/>
    </row>
    <row r="12" spans="2:13" s="107" customFormat="1" ht="18" customHeight="1">
      <c r="B12" s="113"/>
      <c r="C12" s="103"/>
      <c r="D12" s="118" t="s">
        <v>444</v>
      </c>
      <c r="E12" s="103" t="s">
        <v>482</v>
      </c>
      <c r="F12" s="103" t="s">
        <v>483</v>
      </c>
      <c r="G12" s="103" t="s">
        <v>484</v>
      </c>
      <c r="H12" s="103"/>
      <c r="I12" s="103"/>
      <c r="J12" s="117"/>
      <c r="K12" s="117"/>
      <c r="L12" s="115"/>
      <c r="M12" s="116"/>
    </row>
    <row r="13" spans="2:13" s="107" customFormat="1" ht="18" customHeight="1">
      <c r="B13" s="113"/>
      <c r="C13" s="103"/>
      <c r="D13" s="118" t="s">
        <v>41</v>
      </c>
      <c r="E13" s="103" t="s">
        <v>40</v>
      </c>
      <c r="F13" s="103" t="s">
        <v>42</v>
      </c>
      <c r="G13" s="103" t="s">
        <v>485</v>
      </c>
      <c r="H13" s="103"/>
      <c r="I13" s="103"/>
      <c r="J13" s="117"/>
      <c r="K13" s="117"/>
      <c r="L13" s="115"/>
      <c r="M13" s="116"/>
    </row>
    <row r="14" spans="2:13" s="107" customFormat="1" ht="18" customHeight="1">
      <c r="B14" s="113"/>
      <c r="C14" s="103"/>
      <c r="D14" s="118" t="s">
        <v>54</v>
      </c>
      <c r="E14" s="103" t="s">
        <v>486</v>
      </c>
      <c r="F14" s="103" t="s">
        <v>57</v>
      </c>
      <c r="G14" s="103" t="s">
        <v>487</v>
      </c>
      <c r="H14" s="103"/>
      <c r="I14" s="103"/>
      <c r="J14" s="117"/>
      <c r="K14" s="117"/>
      <c r="L14" s="115"/>
      <c r="M14" s="116"/>
    </row>
    <row r="15" spans="2:13" s="107" customFormat="1" ht="18" customHeight="1">
      <c r="B15" s="113"/>
      <c r="C15" s="103"/>
      <c r="D15" s="118" t="s">
        <v>228</v>
      </c>
      <c r="E15" s="103" t="s">
        <v>488</v>
      </c>
      <c r="F15" s="103" t="s">
        <v>230</v>
      </c>
      <c r="G15" s="103" t="s">
        <v>489</v>
      </c>
      <c r="H15" s="103"/>
      <c r="I15" s="103"/>
      <c r="J15" s="117"/>
      <c r="K15" s="117"/>
      <c r="L15" s="115"/>
      <c r="M15" s="116"/>
    </row>
    <row r="16" spans="2:13" s="107" customFormat="1" ht="18" customHeight="1">
      <c r="B16" s="113"/>
      <c r="C16" s="103"/>
      <c r="D16" s="118" t="s">
        <v>239</v>
      </c>
      <c r="E16" s="103" t="s">
        <v>490</v>
      </c>
      <c r="F16" s="103" t="s">
        <v>35</v>
      </c>
      <c r="G16" s="103" t="s">
        <v>491</v>
      </c>
      <c r="H16" s="103"/>
      <c r="I16" s="103"/>
      <c r="J16" s="117"/>
      <c r="K16" s="117"/>
      <c r="L16" s="115"/>
      <c r="M16" s="116"/>
    </row>
    <row r="17" spans="2:13" s="107" customFormat="1" ht="18" customHeight="1">
      <c r="B17" s="113"/>
      <c r="C17" s="103"/>
      <c r="D17" s="118" t="s">
        <v>441</v>
      </c>
      <c r="E17" s="103" t="s">
        <v>492</v>
      </c>
      <c r="F17" s="103" t="s">
        <v>54</v>
      </c>
      <c r="G17" s="103" t="s">
        <v>493</v>
      </c>
      <c r="H17" s="103"/>
      <c r="I17" s="103"/>
      <c r="J17" s="117"/>
      <c r="K17" s="117"/>
      <c r="L17" s="115"/>
      <c r="M17" s="116"/>
    </row>
    <row r="18" spans="2:13" s="107" customFormat="1" ht="18" customHeight="1">
      <c r="B18" s="113"/>
      <c r="C18" s="117"/>
      <c r="D18" s="118" t="s">
        <v>44</v>
      </c>
      <c r="E18" s="103" t="s">
        <v>494</v>
      </c>
      <c r="F18" s="103" t="s">
        <v>42</v>
      </c>
      <c r="G18" s="103" t="s">
        <v>495</v>
      </c>
      <c r="H18" s="103"/>
      <c r="I18" s="103"/>
      <c r="J18" s="117"/>
      <c r="K18" s="117"/>
      <c r="L18" s="115"/>
      <c r="M18" s="116"/>
    </row>
    <row r="19" spans="2:13" s="107" customFormat="1" ht="18" customHeight="1">
      <c r="B19" s="113"/>
      <c r="C19" s="117"/>
      <c r="D19" s="118" t="s">
        <v>452</v>
      </c>
      <c r="E19" s="103" t="s">
        <v>496</v>
      </c>
      <c r="F19" s="103" t="s">
        <v>54</v>
      </c>
      <c r="G19" s="103" t="s">
        <v>497</v>
      </c>
      <c r="H19" s="103"/>
      <c r="I19" s="103"/>
      <c r="J19" s="117"/>
      <c r="K19" s="117"/>
      <c r="L19" s="115"/>
      <c r="M19" s="116"/>
    </row>
    <row r="20" spans="2:13" ht="26" customHeight="1">
      <c r="B20" s="1"/>
      <c r="C20" s="5"/>
      <c r="D20" s="6"/>
      <c r="E20" s="6"/>
      <c r="F20" s="6"/>
      <c r="G20" s="6"/>
      <c r="H20" s="6"/>
      <c r="I20" s="6"/>
      <c r="J20" s="5"/>
      <c r="K20" s="5"/>
      <c r="L20" s="2"/>
      <c r="M20" s="3"/>
    </row>
    <row r="21" spans="2:13" s="107" customFormat="1" ht="37" customHeight="1">
      <c r="B21" s="113"/>
      <c r="C21" s="283" t="s">
        <v>498</v>
      </c>
      <c r="D21" s="283"/>
      <c r="E21" s="283"/>
      <c r="F21" s="283"/>
      <c r="G21" s="283"/>
      <c r="H21" s="283"/>
      <c r="I21" s="283"/>
      <c r="J21" s="283"/>
      <c r="K21" s="283"/>
      <c r="L21" s="283"/>
      <c r="M21" s="116"/>
    </row>
    <row r="22" spans="2:13" s="107" customFormat="1" ht="22" customHeight="1">
      <c r="B22" s="113"/>
      <c r="C22" s="103" t="s">
        <v>499</v>
      </c>
      <c r="D22" s="103" t="s">
        <v>500</v>
      </c>
      <c r="E22" s="103"/>
      <c r="F22" s="117"/>
      <c r="G22" s="117"/>
      <c r="H22" s="117"/>
      <c r="I22" s="117"/>
      <c r="J22" s="117"/>
      <c r="K22" s="117"/>
      <c r="L22" s="115"/>
      <c r="M22" s="116"/>
    </row>
    <row r="23" spans="2:13" s="107" customFormat="1" ht="22" customHeight="1">
      <c r="B23" s="113"/>
      <c r="C23" s="103" t="s">
        <v>501</v>
      </c>
      <c r="D23" s="103" t="s">
        <v>502</v>
      </c>
      <c r="E23" s="103"/>
      <c r="F23" s="117"/>
      <c r="G23" s="117"/>
      <c r="H23" s="117"/>
      <c r="I23" s="117"/>
      <c r="J23" s="117"/>
      <c r="K23" s="117"/>
      <c r="L23" s="115"/>
      <c r="M23" s="116"/>
    </row>
    <row r="24" spans="2:13" s="107" customFormat="1" ht="22" customHeight="1">
      <c r="B24" s="113"/>
      <c r="C24" s="103" t="s">
        <v>503</v>
      </c>
      <c r="D24" s="103" t="s">
        <v>504</v>
      </c>
      <c r="E24" s="103"/>
      <c r="F24" s="117"/>
      <c r="G24" s="117"/>
      <c r="H24" s="117"/>
      <c r="I24" s="117"/>
      <c r="J24" s="117"/>
      <c r="K24" s="117"/>
      <c r="L24" s="115"/>
      <c r="M24" s="116"/>
    </row>
    <row r="25" spans="2:13" s="107" customFormat="1" ht="22" customHeight="1">
      <c r="B25" s="113"/>
      <c r="C25" s="103" t="s">
        <v>505</v>
      </c>
      <c r="D25" s="103" t="s">
        <v>506</v>
      </c>
      <c r="E25" s="103"/>
      <c r="F25" s="117"/>
      <c r="G25" s="117"/>
      <c r="H25" s="117"/>
      <c r="I25" s="117"/>
      <c r="J25" s="117"/>
      <c r="K25" s="117"/>
      <c r="L25" s="115"/>
      <c r="M25" s="116"/>
    </row>
    <row r="26" spans="2:13">
      <c r="B26" s="1"/>
      <c r="C26" s="6" t="s">
        <v>427</v>
      </c>
      <c r="D26" s="6"/>
      <c r="E26" s="6"/>
      <c r="F26" s="6"/>
      <c r="G26" s="6"/>
      <c r="H26" s="6"/>
      <c r="I26" s="6"/>
      <c r="J26" s="5"/>
      <c r="K26" s="5"/>
      <c r="L26" s="2"/>
      <c r="M26" s="3"/>
    </row>
    <row r="27" spans="2:13" s="107" customFormat="1" ht="18" customHeight="1">
      <c r="B27" s="113"/>
      <c r="C27" s="103" t="s">
        <v>507</v>
      </c>
      <c r="D27" s="103" t="s">
        <v>508</v>
      </c>
      <c r="E27" s="103"/>
      <c r="F27" s="103"/>
      <c r="G27" s="103"/>
      <c r="H27" s="103"/>
      <c r="I27" s="103"/>
      <c r="J27" s="117"/>
      <c r="K27" s="117"/>
      <c r="L27" s="115"/>
      <c r="M27" s="116"/>
    </row>
    <row r="28" spans="2:13" s="107" customFormat="1" ht="18" customHeight="1">
      <c r="B28" s="113"/>
      <c r="C28" s="117" t="s">
        <v>509</v>
      </c>
      <c r="D28" s="103" t="s">
        <v>510</v>
      </c>
      <c r="E28" s="103"/>
      <c r="F28" s="103"/>
      <c r="G28" s="103"/>
      <c r="H28" s="103"/>
      <c r="I28" s="103"/>
      <c r="J28" s="117"/>
      <c r="K28" s="117"/>
      <c r="L28" s="115"/>
      <c r="M28" s="116"/>
    </row>
    <row r="29" spans="2:13" s="107" customFormat="1" ht="18" customHeight="1">
      <c r="B29" s="113"/>
      <c r="C29" s="117"/>
      <c r="D29" s="167" t="s">
        <v>190</v>
      </c>
      <c r="E29" s="117"/>
      <c r="F29" s="122" t="s">
        <v>78</v>
      </c>
      <c r="G29" s="122" t="s">
        <v>479</v>
      </c>
      <c r="H29" s="103"/>
      <c r="I29" s="103"/>
      <c r="J29" s="117"/>
      <c r="K29" s="117"/>
      <c r="L29" s="115"/>
      <c r="M29" s="116"/>
    </row>
    <row r="30" spans="2:13" s="107" customFormat="1" ht="18" customHeight="1">
      <c r="B30" s="113"/>
      <c r="C30" s="117"/>
      <c r="D30" s="118" t="s">
        <v>436</v>
      </c>
      <c r="E30" s="103" t="s">
        <v>511</v>
      </c>
      <c r="F30" s="103" t="s">
        <v>35</v>
      </c>
      <c r="G30" s="103" t="s">
        <v>512</v>
      </c>
      <c r="H30" s="103"/>
      <c r="I30" s="103"/>
      <c r="J30" s="115"/>
      <c r="K30" s="174">
        <f>2.99792458*10^8</f>
        <v>299792458</v>
      </c>
      <c r="L30" s="103" t="s">
        <v>35</v>
      </c>
      <c r="M30" s="116"/>
    </row>
    <row r="31" spans="2:13" s="107" customFormat="1" ht="18" customHeight="1">
      <c r="B31" s="113"/>
      <c r="C31" s="117"/>
      <c r="D31" s="118" t="s">
        <v>118</v>
      </c>
      <c r="E31" s="103" t="s">
        <v>238</v>
      </c>
      <c r="F31" s="103" t="s">
        <v>86</v>
      </c>
      <c r="G31" s="103" t="s">
        <v>513</v>
      </c>
      <c r="H31" s="103"/>
      <c r="I31" s="103"/>
      <c r="J31" s="117"/>
      <c r="K31" s="117"/>
      <c r="L31" s="115"/>
      <c r="M31" s="116"/>
    </row>
    <row r="32" spans="2:13" s="107" customFormat="1" ht="18" customHeight="1">
      <c r="B32" s="113"/>
      <c r="C32" s="103"/>
      <c r="D32" s="118" t="s">
        <v>239</v>
      </c>
      <c r="E32" s="103" t="s">
        <v>240</v>
      </c>
      <c r="F32" s="103" t="s">
        <v>35</v>
      </c>
      <c r="G32" s="103" t="s">
        <v>514</v>
      </c>
      <c r="H32" s="103"/>
      <c r="I32" s="103"/>
      <c r="J32" s="117"/>
      <c r="K32" s="117"/>
      <c r="L32" s="115"/>
      <c r="M32" s="116"/>
    </row>
    <row r="33" spans="2:13" s="107" customFormat="1" ht="18" customHeight="1">
      <c r="B33" s="113"/>
      <c r="C33" s="103"/>
      <c r="D33" s="118" t="s">
        <v>441</v>
      </c>
      <c r="E33" s="103" t="s">
        <v>515</v>
      </c>
      <c r="F33" s="103" t="s">
        <v>54</v>
      </c>
      <c r="G33" s="103" t="s">
        <v>516</v>
      </c>
      <c r="H33" s="103"/>
      <c r="I33" s="103"/>
      <c r="J33" s="117"/>
      <c r="K33" s="117"/>
      <c r="L33" s="115"/>
      <c r="M33" s="116"/>
    </row>
    <row r="34" spans="2:13" s="107" customFormat="1" ht="18" customHeight="1">
      <c r="B34" s="113"/>
      <c r="C34" s="103"/>
      <c r="D34" s="118" t="s">
        <v>91</v>
      </c>
      <c r="E34" s="103" t="s">
        <v>517</v>
      </c>
      <c r="F34" s="103" t="s">
        <v>54</v>
      </c>
      <c r="G34" s="103" t="s">
        <v>518</v>
      </c>
      <c r="H34" s="103"/>
      <c r="I34" s="103"/>
      <c r="J34" s="117"/>
      <c r="K34" s="117"/>
      <c r="L34" s="115"/>
      <c r="M34" s="116"/>
    </row>
    <row r="35" spans="2:13" s="107" customFormat="1" ht="18" customHeight="1">
      <c r="B35" s="113"/>
      <c r="C35" s="103"/>
      <c r="D35" s="118" t="s">
        <v>519</v>
      </c>
      <c r="E35" s="103" t="s">
        <v>520</v>
      </c>
      <c r="F35" s="103" t="s">
        <v>54</v>
      </c>
      <c r="G35" s="103" t="s">
        <v>518</v>
      </c>
      <c r="H35" s="103"/>
      <c r="I35" s="103"/>
      <c r="J35" s="117"/>
      <c r="K35" s="117"/>
      <c r="L35" s="115"/>
      <c r="M35" s="116"/>
    </row>
    <row r="36" spans="2:13" s="107" customFormat="1" ht="18" customHeight="1">
      <c r="B36" s="113"/>
      <c r="C36" s="103"/>
      <c r="D36" s="118" t="s">
        <v>521</v>
      </c>
      <c r="E36" s="103" t="s">
        <v>522</v>
      </c>
      <c r="F36" s="119" t="s">
        <v>360</v>
      </c>
      <c r="G36" s="103" t="s">
        <v>523</v>
      </c>
      <c r="H36" s="103"/>
      <c r="I36" s="103"/>
      <c r="J36" s="117"/>
      <c r="K36" s="117"/>
      <c r="L36" s="115"/>
      <c r="M36" s="116"/>
    </row>
    <row r="37" spans="2:13" s="107" customFormat="1" ht="18" customHeight="1">
      <c r="B37" s="113"/>
      <c r="C37" s="103"/>
      <c r="D37" s="118" t="s">
        <v>524</v>
      </c>
      <c r="E37" s="103" t="s">
        <v>525</v>
      </c>
      <c r="F37" s="119" t="s">
        <v>360</v>
      </c>
      <c r="G37" s="103" t="s">
        <v>526</v>
      </c>
      <c r="H37" s="103"/>
      <c r="I37" s="103"/>
      <c r="J37" s="117"/>
      <c r="K37" s="117"/>
      <c r="L37" s="115"/>
      <c r="M37" s="116"/>
    </row>
    <row r="38" spans="2:13" ht="23" customHeight="1">
      <c r="B38" s="1"/>
      <c r="C38" s="6"/>
      <c r="D38" s="5"/>
      <c r="E38" s="5"/>
      <c r="F38" s="5"/>
      <c r="G38" s="5"/>
      <c r="H38" s="6"/>
      <c r="I38" s="6"/>
      <c r="J38" s="5"/>
      <c r="K38" s="5"/>
      <c r="L38" s="2"/>
      <c r="M38" s="3"/>
    </row>
    <row r="39" spans="2:13" s="107" customFormat="1" ht="39" customHeight="1">
      <c r="B39" s="113"/>
      <c r="C39" s="283" t="s">
        <v>527</v>
      </c>
      <c r="D39" s="283"/>
      <c r="E39" s="283"/>
      <c r="F39" s="283"/>
      <c r="G39" s="283"/>
      <c r="H39" s="283"/>
      <c r="I39" s="283"/>
      <c r="J39" s="283"/>
      <c r="K39" s="283"/>
      <c r="L39" s="283"/>
      <c r="M39" s="116"/>
    </row>
    <row r="40" spans="2:13" s="107" customFormat="1" ht="22" customHeight="1">
      <c r="B40" s="113"/>
      <c r="C40" s="31" t="s">
        <v>528</v>
      </c>
      <c r="D40" s="103" t="s">
        <v>529</v>
      </c>
      <c r="E40" s="117"/>
      <c r="F40" s="117"/>
      <c r="G40" s="117"/>
      <c r="H40" s="103"/>
      <c r="I40" s="103"/>
      <c r="J40" s="117"/>
      <c r="K40" s="117"/>
      <c r="L40" s="115"/>
      <c r="M40" s="116"/>
    </row>
    <row r="41" spans="2:13" s="107" customFormat="1" ht="22" customHeight="1">
      <c r="B41" s="113"/>
      <c r="C41" s="117"/>
      <c r="D41" s="167" t="s">
        <v>530</v>
      </c>
      <c r="E41" s="117"/>
      <c r="F41" s="122" t="s">
        <v>78</v>
      </c>
      <c r="G41" s="122" t="s">
        <v>479</v>
      </c>
      <c r="H41" s="117"/>
      <c r="I41" s="118"/>
      <c r="J41" s="117"/>
      <c r="K41" s="117"/>
      <c r="L41" s="115"/>
      <c r="M41" s="116"/>
    </row>
    <row r="42" spans="2:13" s="107" customFormat="1" ht="22" customHeight="1">
      <c r="B42" s="113"/>
      <c r="C42" s="117"/>
      <c r="D42" s="118" t="s">
        <v>436</v>
      </c>
      <c r="E42" s="103" t="s">
        <v>511</v>
      </c>
      <c r="F42" s="103" t="s">
        <v>35</v>
      </c>
      <c r="G42" s="105" t="s">
        <v>531</v>
      </c>
      <c r="H42" s="117"/>
      <c r="I42" s="118"/>
      <c r="J42" s="117"/>
      <c r="K42" s="117"/>
      <c r="L42" s="115"/>
      <c r="M42" s="116"/>
    </row>
    <row r="43" spans="2:13" s="107" customFormat="1" ht="22" customHeight="1">
      <c r="B43" s="113"/>
      <c r="C43" s="117"/>
      <c r="D43" s="118" t="s">
        <v>199</v>
      </c>
      <c r="E43" s="105" t="s">
        <v>200</v>
      </c>
      <c r="F43" s="105" t="s">
        <v>122</v>
      </c>
      <c r="G43" s="105" t="s">
        <v>532</v>
      </c>
      <c r="H43" s="117"/>
      <c r="I43" s="118"/>
      <c r="J43" s="117"/>
      <c r="K43" s="117"/>
      <c r="L43" s="115"/>
      <c r="M43" s="116"/>
    </row>
    <row r="44" spans="2:13" s="107" customFormat="1" ht="22" customHeight="1">
      <c r="B44" s="113"/>
      <c r="C44" s="117"/>
      <c r="D44" s="118" t="s">
        <v>54</v>
      </c>
      <c r="E44" s="105" t="s">
        <v>225</v>
      </c>
      <c r="F44" s="105" t="s">
        <v>57</v>
      </c>
      <c r="G44" s="105" t="s">
        <v>533</v>
      </c>
      <c r="H44" s="117"/>
      <c r="I44" s="117"/>
      <c r="J44" s="117"/>
      <c r="K44" s="117"/>
      <c r="L44" s="115"/>
      <c r="M44" s="116"/>
    </row>
    <row r="45" spans="2:13" s="107" customFormat="1" ht="18" customHeight="1">
      <c r="B45" s="113"/>
      <c r="C45" s="311" t="s">
        <v>534</v>
      </c>
      <c r="D45" s="311"/>
      <c r="E45" s="311"/>
      <c r="F45" s="311"/>
      <c r="G45" s="311"/>
      <c r="H45" s="311"/>
      <c r="I45" s="311"/>
      <c r="J45" s="311"/>
      <c r="K45" s="311"/>
      <c r="L45" s="311"/>
      <c r="M45" s="116"/>
    </row>
    <row r="46" spans="2:13" s="107" customFormat="1" ht="18" customHeight="1">
      <c r="B46" s="113"/>
      <c r="C46" s="311"/>
      <c r="D46" s="311"/>
      <c r="E46" s="311"/>
      <c r="F46" s="311"/>
      <c r="G46" s="311"/>
      <c r="H46" s="311"/>
      <c r="I46" s="311"/>
      <c r="J46" s="311"/>
      <c r="K46" s="311"/>
      <c r="L46" s="311"/>
      <c r="M46" s="116"/>
    </row>
    <row r="47" spans="2:13" s="107" customFormat="1" ht="18" customHeight="1">
      <c r="B47" s="113"/>
      <c r="C47" s="117"/>
      <c r="D47" s="117"/>
      <c r="E47" s="204" t="s">
        <v>535</v>
      </c>
      <c r="F47" s="205">
        <f>K30^2</f>
        <v>8.987551787368176E+16</v>
      </c>
      <c r="G47" s="103" t="s">
        <v>536</v>
      </c>
      <c r="H47" s="117"/>
      <c r="I47" s="117"/>
      <c r="J47" s="117"/>
      <c r="K47" s="117"/>
      <c r="L47" s="115"/>
      <c r="M47" s="116"/>
    </row>
    <row r="48" spans="2:13" s="107" customFormat="1" ht="18" customHeight="1">
      <c r="B48" s="113"/>
      <c r="C48" s="117"/>
      <c r="D48" s="117"/>
      <c r="E48" s="118" t="s">
        <v>151</v>
      </c>
      <c r="F48" s="206">
        <f>F47/3600/(10^12)</f>
        <v>24.965421631578266</v>
      </c>
      <c r="G48" s="105" t="s">
        <v>537</v>
      </c>
      <c r="H48" s="115"/>
      <c r="I48" s="117"/>
      <c r="J48" s="117"/>
      <c r="K48" s="117"/>
      <c r="L48" s="115"/>
      <c r="M48" s="116"/>
    </row>
    <row r="49" spans="2:13" s="107" customFormat="1" ht="18" customHeight="1">
      <c r="B49" s="113"/>
      <c r="C49" s="117"/>
      <c r="D49" s="117"/>
      <c r="E49" s="118" t="s">
        <v>151</v>
      </c>
      <c r="F49" s="205">
        <f>F47*3600/I49/10^12</f>
        <v>2.0195484947584691E+27</v>
      </c>
      <c r="G49" s="103" t="s">
        <v>538</v>
      </c>
      <c r="H49" s="207" t="s">
        <v>539</v>
      </c>
      <c r="I49" s="208">
        <f>1.6021*10^-19</f>
        <v>1.6021E-19</v>
      </c>
      <c r="J49" s="207" t="s">
        <v>144</v>
      </c>
      <c r="K49" s="115"/>
      <c r="L49" s="115"/>
      <c r="M49" s="116"/>
    </row>
    <row r="50" spans="2:13" ht="9" customHeight="1">
      <c r="B50" s="38"/>
      <c r="C50" s="39"/>
      <c r="D50" s="39"/>
      <c r="E50" s="39"/>
      <c r="F50" s="39"/>
      <c r="G50" s="39"/>
      <c r="H50" s="39"/>
      <c r="I50" s="39"/>
      <c r="J50" s="39"/>
      <c r="K50" s="39"/>
      <c r="L50" s="39"/>
      <c r="M50" s="40"/>
    </row>
  </sheetData>
  <mergeCells count="4">
    <mergeCell ref="C45:L46"/>
    <mergeCell ref="C3:L3"/>
    <mergeCell ref="C21:L21"/>
    <mergeCell ref="C39:L39"/>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Units</vt:lpstr>
      <vt:lpstr>Constants</vt:lpstr>
      <vt:lpstr>Classical Mechanics</vt:lpstr>
      <vt:lpstr>Oscillations &amp; Waves</vt:lpstr>
      <vt:lpstr>Thermodynamics</vt:lpstr>
      <vt:lpstr>Electromagnetism</vt:lpstr>
      <vt:lpstr>Quantum Mechanics &amp; Relativity</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Hendriks</dc:creator>
  <cp:lastModifiedBy>Heinz Hendriks</cp:lastModifiedBy>
  <dcterms:created xsi:type="dcterms:W3CDTF">2012-10-08T01:07:33Z</dcterms:created>
  <dcterms:modified xsi:type="dcterms:W3CDTF">2017-01-26T01:23:24Z</dcterms:modified>
</cp:coreProperties>
</file>